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d.docs.live.net/1faab1a3ad985ca1/OneDrive/Desktop/Queretaro/"/>
    </mc:Choice>
  </mc:AlternateContent>
  <xr:revisionPtr revIDLastSave="27" documentId="11_2E4B2F1F8CB2C1A2B951E090DBF3F1BC4E3E391A" xr6:coauthVersionLast="47" xr6:coauthVersionMax="47" xr10:uidLastSave="{735F051D-363A-429A-95E1-5177DEF8A055}"/>
  <bookViews>
    <workbookView xWindow="-108" yWindow="-108" windowWidth="23256" windowHeight="12576" firstSheet="3" activeTab="6" xr2:uid="{00000000-000D-0000-FFFF-FFFF00000000}"/>
  </bookViews>
  <sheets>
    <sheet name="Antecedentes" sheetId="1" r:id="rId1"/>
    <sheet name="Propuestas" sheetId="2" r:id="rId2"/>
    <sheet name="Comparativa de Propuestas" sheetId="4" r:id="rId3"/>
    <sheet name="Análisis Pago contado" sheetId="6" r:id="rId4"/>
    <sheet name="Análisis Pago Fraccionando" sheetId="5" r:id="rId5"/>
    <sheet name="Rendi. en Flujos de Inversión" sheetId="7" r:id="rId6"/>
    <sheet name="Concentrado" sheetId="8" r:id="rId7"/>
  </sheets>
  <definedNames>
    <definedName name="inflación">'Rendi. en Flujos de Inversión'!$G$11:$H$22</definedName>
    <definedName name="millones">'Rendi. en Flujos de Inversión'!$H$7</definedName>
    <definedName name="tasareal">'Rendi. en Flujos de Inversión'!$H$8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6" l="1"/>
  <c r="D5" i="8" l="1"/>
  <c r="C10" i="6"/>
  <c r="J13" i="6"/>
  <c r="C41" i="5"/>
  <c r="D41" i="5" s="1"/>
  <c r="E41" i="5" s="1"/>
  <c r="C48" i="5"/>
  <c r="D48" i="5" s="1"/>
  <c r="E48" i="5" s="1"/>
  <c r="C52" i="5"/>
  <c r="C59" i="5"/>
  <c r="D59" i="5" s="1"/>
  <c r="E59" i="5" s="1"/>
  <c r="B49" i="5"/>
  <c r="C49" i="5" s="1"/>
  <c r="D49" i="5" s="1"/>
  <c r="E49" i="5" s="1"/>
  <c r="B50" i="5"/>
  <c r="C50" i="5" s="1"/>
  <c r="D50" i="5" s="1"/>
  <c r="E50" i="5" s="1"/>
  <c r="B51" i="5"/>
  <c r="C51" i="5" s="1"/>
  <c r="D51" i="5" s="1"/>
  <c r="E51" i="5" s="1"/>
  <c r="B52" i="5"/>
  <c r="B53" i="5"/>
  <c r="C53" i="5" s="1"/>
  <c r="B54" i="5"/>
  <c r="C54" i="5" s="1"/>
  <c r="B55" i="5"/>
  <c r="C55" i="5" s="1"/>
  <c r="D55" i="5" s="1"/>
  <c r="E55" i="5" s="1"/>
  <c r="B56" i="5"/>
  <c r="C56" i="5" s="1"/>
  <c r="B57" i="5"/>
  <c r="C57" i="5" s="1"/>
  <c r="D57" i="5" s="1"/>
  <c r="E57" i="5" s="1"/>
  <c r="B58" i="5"/>
  <c r="C58" i="5" s="1"/>
  <c r="D58" i="5" s="1"/>
  <c r="E58" i="5" s="1"/>
  <c r="B59" i="5"/>
  <c r="B60" i="5"/>
  <c r="B38" i="5"/>
  <c r="C38" i="5" s="1"/>
  <c r="B39" i="5"/>
  <c r="C39" i="5" s="1"/>
  <c r="B40" i="5"/>
  <c r="C40" i="5" s="1"/>
  <c r="D40" i="5" s="1"/>
  <c r="E40" i="5" s="1"/>
  <c r="B41" i="5"/>
  <c r="B42" i="5"/>
  <c r="C42" i="5" s="1"/>
  <c r="D42" i="5" s="1"/>
  <c r="E42" i="5" s="1"/>
  <c r="B43" i="5"/>
  <c r="C43" i="5" s="1"/>
  <c r="D43" i="5" s="1"/>
  <c r="E43" i="5" s="1"/>
  <c r="B44" i="5"/>
  <c r="C44" i="5" s="1"/>
  <c r="B45" i="5"/>
  <c r="C45" i="5" s="1"/>
  <c r="B46" i="5"/>
  <c r="B47" i="5"/>
  <c r="C47" i="5" s="1"/>
  <c r="B48" i="5"/>
  <c r="B37" i="5"/>
  <c r="C37" i="5" s="1"/>
  <c r="C46" i="5" l="1"/>
  <c r="D46" i="5" s="1"/>
  <c r="E46" i="5" s="1"/>
  <c r="D38" i="5"/>
  <c r="E38" i="5" s="1"/>
  <c r="D47" i="5"/>
  <c r="E47" i="5" s="1"/>
  <c r="D39" i="5"/>
  <c r="E39" i="5" s="1"/>
  <c r="D54" i="5"/>
  <c r="E54" i="5" s="1"/>
  <c r="C60" i="5"/>
  <c r="D60" i="5" s="1"/>
  <c r="E60" i="5" s="1"/>
  <c r="D52" i="5"/>
  <c r="E52" i="5" s="1"/>
  <c r="D45" i="5"/>
  <c r="E45" i="5" s="1"/>
  <c r="D44" i="5"/>
  <c r="E44" i="5" s="1"/>
  <c r="K13" i="5" s="1"/>
  <c r="D53" i="5"/>
  <c r="E53" i="5" s="1"/>
  <c r="D56" i="5"/>
  <c r="E56" i="5" s="1"/>
  <c r="B61" i="5"/>
  <c r="D37" i="5"/>
  <c r="L13" i="5" l="1"/>
  <c r="E37" i="5"/>
  <c r="J13" i="5" s="1"/>
  <c r="C5" i="8" s="1"/>
  <c r="D61" i="5"/>
  <c r="E61" i="5" s="1"/>
  <c r="E24" i="5"/>
  <c r="B5" i="8"/>
  <c r="E5" i="8" s="1"/>
  <c r="E4" i="7" l="1"/>
  <c r="H4" i="7" s="1"/>
  <c r="E3" i="7"/>
  <c r="H3" i="7" s="1"/>
  <c r="C4" i="7"/>
  <c r="C3" i="7"/>
  <c r="H2" i="7"/>
  <c r="E25" i="5"/>
  <c r="E26" i="5"/>
  <c r="E27" i="5"/>
  <c r="E28" i="5"/>
  <c r="E29" i="5"/>
  <c r="E30" i="5"/>
  <c r="D31" i="5"/>
  <c r="C8" i="8" s="1"/>
  <c r="B13" i="5"/>
  <c r="E31" i="5" l="1"/>
  <c r="C9" i="8" s="1"/>
  <c r="B14" i="5"/>
  <c r="C6" i="8" s="1"/>
  <c r="B15" i="5"/>
  <c r="C7" i="8" s="1"/>
  <c r="I2" i="7"/>
  <c r="J2" i="7" s="1"/>
  <c r="F3" i="7"/>
  <c r="F4" i="7" s="1"/>
  <c r="I4" i="7" l="1"/>
  <c r="J4" i="7" s="1"/>
  <c r="K2" i="7"/>
  <c r="I3" i="7"/>
  <c r="J3" i="7" l="1"/>
  <c r="K3" i="7" s="1"/>
  <c r="K4" i="7"/>
  <c r="L2" i="7"/>
  <c r="M2" i="7" l="1"/>
  <c r="L4" i="7"/>
  <c r="L3" i="7"/>
  <c r="M4" i="7" l="1"/>
  <c r="M3" i="7"/>
  <c r="N2" i="7"/>
  <c r="N3" i="7" l="1"/>
  <c r="N4" i="7"/>
  <c r="O2" i="7"/>
  <c r="O3" i="7" l="1"/>
  <c r="P2" i="7"/>
  <c r="O4" i="7"/>
  <c r="P3" i="7" l="1"/>
  <c r="Q3" i="7" s="1"/>
  <c r="R3" i="7" s="1"/>
  <c r="P4" i="7"/>
  <c r="Q4" i="7" s="1"/>
  <c r="R4" i="7" s="1"/>
  <c r="R5" i="7" l="1"/>
  <c r="B3" i="8" s="1"/>
  <c r="B13" i="6"/>
  <c r="F22" i="6"/>
  <c r="F23" i="6"/>
  <c r="F24" i="6"/>
  <c r="F25" i="6"/>
  <c r="F26" i="6"/>
  <c r="F27" i="6"/>
  <c r="F21" i="6"/>
  <c r="E22" i="6"/>
  <c r="E23" i="6"/>
  <c r="E24" i="6"/>
  <c r="E25" i="6"/>
  <c r="E26" i="6"/>
  <c r="E27" i="6"/>
  <c r="E21" i="6"/>
  <c r="C28" i="6"/>
  <c r="M10" i="6"/>
  <c r="E10" i="4"/>
  <c r="D10" i="4"/>
  <c r="K4" i="4"/>
  <c r="K5" i="4"/>
  <c r="K6" i="4"/>
  <c r="K7" i="4"/>
  <c r="K8" i="4"/>
  <c r="K9" i="4"/>
  <c r="K3" i="4"/>
  <c r="J3" i="4"/>
  <c r="J4" i="4"/>
  <c r="J5" i="4"/>
  <c r="J6" i="4"/>
  <c r="J7" i="4"/>
  <c r="J8" i="4"/>
  <c r="J9" i="4"/>
  <c r="F4" i="4"/>
  <c r="F5" i="4"/>
  <c r="F6" i="4"/>
  <c r="F7" i="4"/>
  <c r="F8" i="4"/>
  <c r="F9" i="4"/>
  <c r="F3" i="4"/>
  <c r="B5" i="2"/>
  <c r="V10" i="2"/>
  <c r="V9" i="2"/>
  <c r="H5" i="1"/>
  <c r="H6" i="1" s="1"/>
  <c r="P16" i="2"/>
  <c r="O16" i="2"/>
  <c r="B10" i="1"/>
  <c r="B2" i="8" s="1"/>
  <c r="C4" i="2"/>
  <c r="C16" i="2" s="1"/>
  <c r="D4" i="1"/>
  <c r="R10" i="2" s="1"/>
  <c r="D3" i="1"/>
  <c r="R9" i="2" s="1"/>
  <c r="D5" i="1"/>
  <c r="R11" i="2" s="1"/>
  <c r="D6" i="1"/>
  <c r="R12" i="2" s="1"/>
  <c r="D7" i="1"/>
  <c r="R13" i="2" s="1"/>
  <c r="D8" i="1"/>
  <c r="R14" i="2" s="1"/>
  <c r="D9" i="1"/>
  <c r="R15" i="2" s="1"/>
  <c r="G10" i="1"/>
  <c r="F6" i="1" s="1"/>
  <c r="P12" i="2" s="1"/>
  <c r="C10" i="1"/>
  <c r="D12" i="2" l="1"/>
  <c r="F12" i="2" s="1"/>
  <c r="H12" i="2" s="1"/>
  <c r="D13" i="2"/>
  <c r="F13" i="2" s="1"/>
  <c r="G13" i="2" s="1"/>
  <c r="D11" i="2"/>
  <c r="F11" i="2" s="1"/>
  <c r="G11" i="2" s="1"/>
  <c r="D14" i="2"/>
  <c r="F14" i="2" s="1"/>
  <c r="D15" i="2"/>
  <c r="F15" i="2" s="1"/>
  <c r="D9" i="2"/>
  <c r="F9" i="2" s="1"/>
  <c r="D10" i="2"/>
  <c r="F10" i="2" s="1"/>
  <c r="F3" i="1"/>
  <c r="G12" i="2"/>
  <c r="F10" i="4"/>
  <c r="B7" i="8"/>
  <c r="B8" i="8"/>
  <c r="E28" i="6"/>
  <c r="B9" i="8" s="1"/>
  <c r="F28" i="6"/>
  <c r="V12" i="2"/>
  <c r="H7" i="1"/>
  <c r="E6" i="1"/>
  <c r="V11" i="2"/>
  <c r="Q12" i="2"/>
  <c r="S12" i="2" s="1"/>
  <c r="F7" i="1"/>
  <c r="F5" i="1"/>
  <c r="P11" i="2" s="1"/>
  <c r="Q11" i="2" s="1"/>
  <c r="S11" i="2" s="1"/>
  <c r="T11" i="2" s="1"/>
  <c r="E5" i="1"/>
  <c r="F8" i="1"/>
  <c r="D10" i="1"/>
  <c r="F4" i="1"/>
  <c r="P10" i="2" s="1"/>
  <c r="Q10" i="2" s="1"/>
  <c r="S10" i="2" s="1"/>
  <c r="P9" i="2"/>
  <c r="Q9" i="2" s="1"/>
  <c r="S9" i="2" s="1"/>
  <c r="F9" i="1"/>
  <c r="P15" i="2" s="1"/>
  <c r="Q15" i="2" s="1"/>
  <c r="S15" i="2" s="1"/>
  <c r="B14" i="6" l="1"/>
  <c r="B6" i="8" s="1"/>
  <c r="H10" i="2"/>
  <c r="G10" i="2"/>
  <c r="H11" i="2"/>
  <c r="G9" i="2"/>
  <c r="H9" i="2"/>
  <c r="H15" i="2"/>
  <c r="G15" i="2"/>
  <c r="G14" i="2"/>
  <c r="H14" i="2"/>
  <c r="H13" i="2"/>
  <c r="H8" i="1"/>
  <c r="V13" i="2"/>
  <c r="E8" i="1"/>
  <c r="P14" i="2"/>
  <c r="Q14" i="2" s="1"/>
  <c r="S14" i="2" s="1"/>
  <c r="U11" i="2"/>
  <c r="E7" i="1"/>
  <c r="P13" i="2"/>
  <c r="Q13" i="2" s="1"/>
  <c r="S13" i="2" s="1"/>
  <c r="T13" i="2" s="1"/>
  <c r="T15" i="2"/>
  <c r="U15" i="2"/>
  <c r="T10" i="2"/>
  <c r="U10" i="2"/>
  <c r="T12" i="2"/>
  <c r="U12" i="2"/>
  <c r="T14" i="2"/>
  <c r="U14" i="2"/>
  <c r="T9" i="2"/>
  <c r="U9" i="2"/>
  <c r="E3" i="1"/>
  <c r="E9" i="1"/>
  <c r="E4" i="1"/>
  <c r="U13" i="2" l="1"/>
  <c r="V14" i="2"/>
  <c r="H9" i="1"/>
  <c r="V15" i="2" s="1"/>
  <c r="E10" i="1"/>
</calcChain>
</file>

<file path=xl/sharedStrings.xml><?xml version="1.0" encoding="utf-8"?>
<sst xmlns="http://schemas.openxmlformats.org/spreadsheetml/2006/main" count="217" uniqueCount="98">
  <si>
    <t>Terreno:</t>
  </si>
  <si>
    <r>
      <t>214,655.394 m</t>
    </r>
    <r>
      <rPr>
        <sz val="11"/>
        <color theme="1"/>
        <rFont val="Calibri"/>
        <family val="2"/>
      </rPr>
      <t>²</t>
    </r>
  </si>
  <si>
    <t>Precio:</t>
  </si>
  <si>
    <t>Precio de compra</t>
  </si>
  <si>
    <t>Valor Catastral</t>
  </si>
  <si>
    <r>
      <t>M</t>
    </r>
    <r>
      <rPr>
        <b/>
        <sz val="11"/>
        <color theme="1"/>
        <rFont val="Calibri"/>
        <family val="2"/>
      </rPr>
      <t>²</t>
    </r>
  </si>
  <si>
    <t>Aportación de Terreno (parcela 84)</t>
  </si>
  <si>
    <t>Aportación de Terreno (parcela 103)</t>
  </si>
  <si>
    <t>Aportación de Terreno (parcela 109)</t>
  </si>
  <si>
    <t>Aportación de Terreno (parcela 110)</t>
  </si>
  <si>
    <t>Aportación de Terreno (parcela 125)</t>
  </si>
  <si>
    <t>Aportación de Terreno (parcela 134)</t>
  </si>
  <si>
    <t>Aportación de Terreno (parcela 153)</t>
  </si>
  <si>
    <t>Proporción</t>
  </si>
  <si>
    <r>
      <t>Precio M</t>
    </r>
    <r>
      <rPr>
        <b/>
        <sz val="11"/>
        <color theme="1"/>
        <rFont val="Calibri"/>
        <family val="2"/>
      </rPr>
      <t>²
ponderado Compra</t>
    </r>
  </si>
  <si>
    <r>
      <t>Precio M</t>
    </r>
    <r>
      <rPr>
        <b/>
        <sz val="11"/>
        <color theme="1"/>
        <rFont val="Calibri"/>
        <family val="2"/>
      </rPr>
      <t>²
Compra</t>
    </r>
  </si>
  <si>
    <t xml:space="preserve">7   Parcelas </t>
  </si>
  <si>
    <t>PAGO DE CONTADO</t>
  </si>
  <si>
    <t>PAGO FRACCIONADO</t>
  </si>
  <si>
    <t>Totales</t>
  </si>
  <si>
    <t>Fecha de
Adquisición</t>
  </si>
  <si>
    <t>Propuesta de
 Venta</t>
  </si>
  <si>
    <r>
      <t>Precio M</t>
    </r>
    <r>
      <rPr>
        <b/>
        <sz val="11"/>
        <color theme="1"/>
        <rFont val="Calibri"/>
        <family val="2"/>
      </rPr>
      <t>²
de Compra</t>
    </r>
  </si>
  <si>
    <r>
      <t>Precio M</t>
    </r>
    <r>
      <rPr>
        <b/>
        <sz val="11"/>
        <color theme="1"/>
        <rFont val="Calibri"/>
        <family val="2"/>
      </rPr>
      <t>² 
de Venta</t>
    </r>
  </si>
  <si>
    <t>Años</t>
  </si>
  <si>
    <t>Meses</t>
  </si>
  <si>
    <t>Días</t>
  </si>
  <si>
    <t>Tiempo Transcurrido de Adquisición</t>
  </si>
  <si>
    <t>Precio M²
de Compra</t>
  </si>
  <si>
    <t>Precio M² 
de Venta</t>
  </si>
  <si>
    <t>Precio M² 
de Venta
(Contado)</t>
  </si>
  <si>
    <t>Precio M² 
de Venta
(Fraccionado)</t>
  </si>
  <si>
    <t>Tiempo 
Transcurrido 
de Adquisición</t>
  </si>
  <si>
    <t>Precio 
de compra</t>
  </si>
  <si>
    <t>% de Utilidad
(Compra a Venta)</t>
  </si>
  <si>
    <t>Análisis Comparativa de propuestas</t>
  </si>
  <si>
    <t>TIR</t>
  </si>
  <si>
    <t>VPN</t>
  </si>
  <si>
    <t>Inflación</t>
  </si>
  <si>
    <t>Año</t>
  </si>
  <si>
    <t>FLUJOS</t>
  </si>
  <si>
    <t>COMPARATIVA DE VALOR DE ADQUISICIÓN, VALOR CATASTRAL Y PROPUESTA PAGO DE CONTADO</t>
  </si>
  <si>
    <t>APORTACIONES</t>
  </si>
  <si>
    <t>RENDIMIENTO</t>
  </si>
  <si>
    <t>#</t>
  </si>
  <si>
    <t>Fecha Aportación</t>
  </si>
  <si>
    <t>Importe de Aportación</t>
  </si>
  <si>
    <t>Acumulado Aportación</t>
  </si>
  <si>
    <t>Interés + Capital</t>
  </si>
  <si>
    <t>*</t>
  </si>
  <si>
    <t>Nota: Cifras en Millones de pesos</t>
  </si>
  <si>
    <t>TOTAL</t>
  </si>
  <si>
    <t>* Encuesta sobre las Expectativas de los Especialistas en Economía del Sector Privado:
Junio de 2021</t>
  </si>
  <si>
    <t>Millones</t>
  </si>
  <si>
    <t>Tasa Real</t>
  </si>
  <si>
    <t xml:space="preserve">DESCRIPCION </t>
  </si>
  <si>
    <t>Ingresos totales en inversión a (TASA NOMINAL ANUAL 7% PROMEDIO)</t>
  </si>
  <si>
    <t>Liga para la justificación y manera de evaluar a tasa de descuento para el sector público.</t>
  </si>
  <si>
    <t>https://www.gob.mx/shcp/documentos/tasa-social-de-descuento-tsd</t>
  </si>
  <si>
    <t>Manera de Decisión</t>
  </si>
  <si>
    <t>1. Si el valor presente neto es positivo la tasa elegida generará Riquezas.</t>
  </si>
  <si>
    <t>2. Si el valor presente neto es igual a cero el proyecto no generará Riquezas ni perdidas, por lo que su realización resultará indiferente.</t>
  </si>
  <si>
    <t>3. Si el valor presente neto es negativo, el proyecto de inversión generará perdidas, por lo que deberá ser rechazado.</t>
  </si>
  <si>
    <t xml:space="preserve">Ingresos totales de negociación </t>
  </si>
  <si>
    <t>Nota: En el pago inicial de los $50 millones, se descontará el 50% del predial correspondiente al IPEJAL que asciende a $3.7 millones de pesos.</t>
  </si>
  <si>
    <t>Pago Fraccionado</t>
  </si>
  <si>
    <t>Ganancia o perdida sobre VALOR CATASTRAL</t>
  </si>
  <si>
    <t>Porcentaje de ganancia o perdida sobre VALOR CATASTRAL</t>
  </si>
  <si>
    <t>Inversión Inicial</t>
  </si>
  <si>
    <t>COMPARATIVA DE VALOR DE ADQUISICIÓN, VALOR CATASTRAL Y PROPUESTA PAGO FRACCIONANDO</t>
  </si>
  <si>
    <t>Nota: la tasa de descuento para el VPN esta calculada con el 8.6%.</t>
  </si>
  <si>
    <t xml:space="preserve">Análisis Propuesta Uno </t>
  </si>
  <si>
    <t>Déficit o
 Superávit</t>
  </si>
  <si>
    <t>Déficit o 
Superávit
(Catastro a Venta)</t>
  </si>
  <si>
    <t>Déficit o 
Superávit
(Adquisición a Venta)</t>
  </si>
  <si>
    <t>Análisis Propuesta Dos</t>
  </si>
  <si>
    <t>Déficit o Superávit</t>
  </si>
  <si>
    <t>Propuesta de
 Venta
(Contado)</t>
  </si>
  <si>
    <t>Propuesta de
 Venta (Fraccionado)</t>
  </si>
  <si>
    <t>PROPUESTA DOS PAGO FRACCIONADO</t>
  </si>
  <si>
    <t>PROPUESTA UNO PAGO DE CONTADO</t>
  </si>
  <si>
    <t>Características de Compra-Venta</t>
  </si>
  <si>
    <t>Precios de Adquisición (Parcelas en Querétaro)</t>
  </si>
  <si>
    <t>Diferencia en Pesos
(Frac. Y Contado)</t>
  </si>
  <si>
    <t>% Diferencia 
entre
(Frac. Y Contado)</t>
  </si>
  <si>
    <t>Diferencia
(Pago Fraccionado menos Pago de contado)</t>
  </si>
  <si>
    <t>Pago de Contado</t>
  </si>
  <si>
    <t>Nota: la tasa de descuento para el VPN esta calculada con el 8.6% (5.6% de inflación + 3 % de incremento real).</t>
  </si>
  <si>
    <t>Pago de Interés</t>
  </si>
  <si>
    <t>Pago Sin interés</t>
  </si>
  <si>
    <t>Interés Mensual</t>
  </si>
  <si>
    <t>Monto de pagos Mensuales</t>
  </si>
  <si>
    <t>Periódo</t>
  </si>
  <si>
    <t>Nota: El pago restante de $40 millones se divide en 24 pagos iguales, más intereses acumulados. (Se anexa tabla de la forma de cálculo)</t>
  </si>
  <si>
    <t>Nota: Los pagos mensuales empezarían a partir del mes de Septiembre del año 2021.</t>
  </si>
  <si>
    <t>Nota: Se carga una Tasa de interés al pago fraccionado de TIIIE 28 días (4.2745%) + 2.% del 21 de Mayo de 2021</t>
  </si>
  <si>
    <t>Tasa de interés 6.2745%</t>
  </si>
  <si>
    <t>FORMA DE PAGO DE LOS 40 MILLONES RESTANTES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</si>
</sst>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dd\-mm\-yy;@"/>
    <numFmt numFmtId="167" formatCode="0.00;[Red]0.00"/>
    <numFmt numFmtId="168" formatCode="dd/mm/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Arial"/>
      <family val="2"/>
    </font>
    <font>
      <b/>
      <i/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272">
    <xf numFmtId="0" fontId="0" fillId="0" borderId="0" xfId="0"/>
    <xf numFmtId="10" fontId="0" fillId="2" borderId="4" xfId="3" applyNumberFormat="1" applyFont="1" applyFill="1" applyBorder="1"/>
    <xf numFmtId="10" fontId="0" fillId="2" borderId="10" xfId="3" applyNumberFormat="1" applyFont="1" applyFill="1" applyBorder="1"/>
    <xf numFmtId="43" fontId="4" fillId="2" borderId="12" xfId="1" applyNumberFormat="1" applyFont="1" applyFill="1" applyBorder="1"/>
    <xf numFmtId="0" fontId="0" fillId="0" borderId="4" xfId="0" applyBorder="1"/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/>
    <xf numFmtId="44" fontId="0" fillId="0" borderId="9" xfId="2" applyFont="1" applyBorder="1"/>
    <xf numFmtId="44" fontId="0" fillId="0" borderId="7" xfId="2" applyFont="1" applyBorder="1"/>
    <xf numFmtId="0" fontId="0" fillId="0" borderId="8" xfId="0" applyBorder="1"/>
    <xf numFmtId="0" fontId="0" fillId="0" borderId="3" xfId="0" applyBorder="1"/>
    <xf numFmtId="0" fontId="4" fillId="0" borderId="0" xfId="0" applyFont="1"/>
    <xf numFmtId="15" fontId="0" fillId="0" borderId="0" xfId="0" applyNumberForma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2" xfId="0" applyFill="1" applyBorder="1"/>
    <xf numFmtId="44" fontId="0" fillId="0" borderId="4" xfId="2" applyFont="1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 applyAlignment="1">
      <alignment horizontal="left"/>
    </xf>
    <xf numFmtId="44" fontId="0" fillId="0" borderId="4" xfId="2" applyFont="1" applyFill="1" applyBorder="1" applyAlignment="1"/>
    <xf numFmtId="44" fontId="8" fillId="0" borderId="10" xfId="2" applyFont="1" applyFill="1" applyBorder="1"/>
    <xf numFmtId="0" fontId="0" fillId="4" borderId="2" xfId="0" applyFill="1" applyBorder="1"/>
    <xf numFmtId="44" fontId="0" fillId="4" borderId="4" xfId="2" applyFont="1" applyFill="1" applyBorder="1"/>
    <xf numFmtId="44" fontId="0" fillId="4" borderId="0" xfId="2" applyFont="1" applyFill="1" applyBorder="1"/>
    <xf numFmtId="44" fontId="0" fillId="4" borderId="5" xfId="2" applyFont="1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 applyAlignment="1">
      <alignment horizontal="left"/>
    </xf>
    <xf numFmtId="44" fontId="0" fillId="4" borderId="4" xfId="2" applyFont="1" applyFill="1" applyBorder="1" applyAlignment="1"/>
    <xf numFmtId="44" fontId="0" fillId="4" borderId="0" xfId="2" applyFont="1" applyFill="1" applyBorder="1" applyAlignment="1">
      <alignment horizontal="left"/>
    </xf>
    <xf numFmtId="44" fontId="0" fillId="4" borderId="5" xfId="2" applyFont="1" applyFill="1" applyBorder="1" applyAlignment="1">
      <alignment horizontal="left"/>
    </xf>
    <xf numFmtId="0" fontId="4" fillId="4" borderId="1" xfId="0" applyFont="1" applyFill="1" applyBorder="1" applyAlignment="1">
      <alignment horizontal="right"/>
    </xf>
    <xf numFmtId="44" fontId="8" fillId="4" borderId="10" xfId="2" applyFont="1" applyFill="1" applyBorder="1"/>
    <xf numFmtId="44" fontId="8" fillId="4" borderId="11" xfId="2" applyFont="1" applyFill="1" applyBorder="1"/>
    <xf numFmtId="44" fontId="4" fillId="4" borderId="11" xfId="2" applyFont="1" applyFill="1" applyBorder="1"/>
    <xf numFmtId="44" fontId="4" fillId="4" borderId="12" xfId="2" applyFont="1" applyFill="1" applyBorder="1"/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0" fillId="0" borderId="8" xfId="0" applyNumberFormat="1" applyBorder="1"/>
    <xf numFmtId="44" fontId="0" fillId="0" borderId="8" xfId="0" applyNumberFormat="1" applyBorder="1"/>
    <xf numFmtId="10" fontId="0" fillId="0" borderId="0" xfId="0" applyNumberFormat="1" applyBorder="1"/>
    <xf numFmtId="44" fontId="0" fillId="0" borderId="0" xfId="0" applyNumberFormat="1" applyBorder="1"/>
    <xf numFmtId="10" fontId="0" fillId="0" borderId="9" xfId="0" applyNumberFormat="1" applyBorder="1"/>
    <xf numFmtId="44" fontId="0" fillId="0" borderId="9" xfId="0" applyNumberFormat="1" applyBorder="1"/>
    <xf numFmtId="44" fontId="0" fillId="0" borderId="2" xfId="2" applyFont="1" applyFill="1" applyBorder="1"/>
    <xf numFmtId="44" fontId="0" fillId="0" borderId="6" xfId="2" applyFont="1" applyFill="1" applyBorder="1" applyAlignment="1"/>
    <xf numFmtId="0" fontId="4" fillId="0" borderId="15" xfId="0" applyFont="1" applyFill="1" applyBorder="1" applyAlignment="1">
      <alignment horizontal="right"/>
    </xf>
    <xf numFmtId="44" fontId="8" fillId="0" borderId="12" xfId="0" applyNumberFormat="1" applyFont="1" applyBorder="1"/>
    <xf numFmtId="44" fontId="0" fillId="2" borderId="8" xfId="0" applyNumberFormat="1" applyFill="1" applyBorder="1"/>
    <xf numFmtId="43" fontId="0" fillId="2" borderId="8" xfId="0" applyNumberFormat="1" applyFill="1" applyBorder="1"/>
    <xf numFmtId="44" fontId="0" fillId="2" borderId="0" xfId="0" applyNumberFormat="1" applyFill="1" applyBorder="1"/>
    <xf numFmtId="43" fontId="0" fillId="2" borderId="0" xfId="0" applyNumberFormat="1" applyFill="1" applyBorder="1"/>
    <xf numFmtId="44" fontId="0" fillId="2" borderId="9" xfId="0" applyNumberFormat="1" applyFill="1" applyBorder="1"/>
    <xf numFmtId="43" fontId="0" fillId="2" borderId="9" xfId="0" applyNumberFormat="1" applyFill="1" applyBorder="1"/>
    <xf numFmtId="0" fontId="4" fillId="2" borderId="11" xfId="0" applyFont="1" applyFill="1" applyBorder="1" applyAlignment="1">
      <alignment horizontal="center" vertical="center" wrapText="1"/>
    </xf>
    <xf numFmtId="2" fontId="0" fillId="0" borderId="0" xfId="0" applyNumberFormat="1"/>
    <xf numFmtId="166" fontId="0" fillId="0" borderId="0" xfId="0" applyNumberFormat="1"/>
    <xf numFmtId="166" fontId="0" fillId="0" borderId="13" xfId="0" applyNumberFormat="1" applyBorder="1"/>
    <xf numFmtId="43" fontId="0" fillId="2" borderId="0" xfId="1" applyNumberFormat="1" applyFont="1" applyFill="1" applyBorder="1"/>
    <xf numFmtId="43" fontId="0" fillId="2" borderId="0" xfId="1" applyNumberFormat="1" applyFont="1" applyFill="1" applyBorder="1" applyAlignment="1">
      <alignment horizontal="left"/>
    </xf>
    <xf numFmtId="0" fontId="4" fillId="0" borderId="13" xfId="0" applyFont="1" applyBorder="1" applyAlignment="1">
      <alignment horizontal="center" vertical="center" wrapText="1"/>
    </xf>
    <xf numFmtId="166" fontId="0" fillId="0" borderId="14" xfId="0" applyNumberFormat="1" applyBorder="1"/>
    <xf numFmtId="166" fontId="0" fillId="0" borderId="15" xfId="0" applyNumberFormat="1" applyBorder="1"/>
    <xf numFmtId="167" fontId="0" fillId="0" borderId="4" xfId="0" applyNumberFormat="1" applyBorder="1"/>
    <xf numFmtId="1" fontId="0" fillId="0" borderId="0" xfId="0" applyNumberFormat="1" applyBorder="1"/>
    <xf numFmtId="0" fontId="0" fillId="0" borderId="5" xfId="0" applyBorder="1"/>
    <xf numFmtId="167" fontId="0" fillId="0" borderId="6" xfId="0" applyNumberFormat="1" applyBorder="1"/>
    <xf numFmtId="1" fontId="0" fillId="0" borderId="9" xfId="0" applyNumberFormat="1" applyBorder="1"/>
    <xf numFmtId="0" fontId="0" fillId="0" borderId="7" xfId="0" applyBorder="1"/>
    <xf numFmtId="165" fontId="0" fillId="7" borderId="3" xfId="3" applyNumberFormat="1" applyFont="1" applyFill="1" applyBorder="1"/>
    <xf numFmtId="165" fontId="0" fillId="7" borderId="5" xfId="3" applyNumberFormat="1" applyFont="1" applyFill="1" applyBorder="1"/>
    <xf numFmtId="165" fontId="0" fillId="7" borderId="7" xfId="3" applyNumberFormat="1" applyFont="1" applyFill="1" applyBorder="1"/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44" fontId="0" fillId="0" borderId="0" xfId="2" applyFont="1" applyBorder="1"/>
    <xf numFmtId="0" fontId="0" fillId="0" borderId="4" xfId="0" applyFill="1" applyBorder="1"/>
    <xf numFmtId="0" fontId="0" fillId="0" borderId="6" xfId="0" applyFill="1" applyBorder="1" applyAlignment="1">
      <alignment horizontal="left"/>
    </xf>
    <xf numFmtId="165" fontId="0" fillId="7" borderId="0" xfId="3" applyNumberFormat="1" applyFont="1" applyFill="1" applyBorder="1"/>
    <xf numFmtId="167" fontId="0" fillId="0" borderId="0" xfId="0" applyNumberFormat="1" applyBorder="1"/>
    <xf numFmtId="0" fontId="0" fillId="0" borderId="0" xfId="0" applyBorder="1"/>
    <xf numFmtId="165" fontId="0" fillId="7" borderId="8" xfId="3" applyNumberFormat="1" applyFont="1" applyFill="1" applyBorder="1"/>
    <xf numFmtId="167" fontId="0" fillId="0" borderId="8" xfId="0" applyNumberFormat="1" applyBorder="1"/>
    <xf numFmtId="1" fontId="0" fillId="0" borderId="8" xfId="0" applyNumberFormat="1" applyBorder="1"/>
    <xf numFmtId="165" fontId="0" fillId="7" borderId="9" xfId="3" applyNumberFormat="1" applyFont="1" applyFill="1" applyBorder="1"/>
    <xf numFmtId="167" fontId="0" fillId="0" borderId="9" xfId="0" applyNumberFormat="1" applyBorder="1"/>
    <xf numFmtId="167" fontId="0" fillId="0" borderId="2" xfId="0" applyNumberFormat="1" applyBorder="1"/>
    <xf numFmtId="44" fontId="0" fillId="2" borderId="2" xfId="0" applyNumberFormat="1" applyFill="1" applyBorder="1"/>
    <xf numFmtId="43" fontId="0" fillId="2" borderId="3" xfId="0" applyNumberFormat="1" applyFill="1" applyBorder="1"/>
    <xf numFmtId="44" fontId="0" fillId="2" borderId="4" xfId="0" applyNumberFormat="1" applyFill="1" applyBorder="1"/>
    <xf numFmtId="43" fontId="0" fillId="2" borderId="5" xfId="0" applyNumberFormat="1" applyFill="1" applyBorder="1"/>
    <xf numFmtId="44" fontId="0" fillId="2" borderId="6" xfId="0" applyNumberFormat="1" applyFill="1" applyBorder="1"/>
    <xf numFmtId="43" fontId="0" fillId="2" borderId="7" xfId="0" applyNumberFormat="1" applyFill="1" applyBorder="1"/>
    <xf numFmtId="0" fontId="4" fillId="7" borderId="0" xfId="0" applyFont="1" applyFill="1" applyBorder="1" applyAlignment="1">
      <alignment horizontal="center" vertical="center" wrapText="1"/>
    </xf>
    <xf numFmtId="44" fontId="0" fillId="2" borderId="0" xfId="2" applyFont="1" applyFill="1" applyBorder="1"/>
    <xf numFmtId="10" fontId="0" fillId="0" borderId="5" xfId="3" applyNumberFormat="1" applyFont="1" applyBorder="1"/>
    <xf numFmtId="44" fontId="0" fillId="2" borderId="9" xfId="2" applyFont="1" applyFill="1" applyBorder="1"/>
    <xf numFmtId="10" fontId="0" fillId="7" borderId="5" xfId="3" applyNumberFormat="1" applyFont="1" applyFill="1" applyBorder="1"/>
    <xf numFmtId="10" fontId="0" fillId="7" borderId="7" xfId="3" applyNumberFormat="1" applyFont="1" applyFill="1" applyBorder="1"/>
    <xf numFmtId="0" fontId="4" fillId="0" borderId="6" xfId="0" applyFont="1" applyFill="1" applyBorder="1" applyAlignment="1">
      <alignment horizontal="right"/>
    </xf>
    <xf numFmtId="44" fontId="4" fillId="0" borderId="11" xfId="0" applyNumberFormat="1" applyFont="1" applyBorder="1"/>
    <xf numFmtId="44" fontId="4" fillId="0" borderId="12" xfId="0" applyNumberFormat="1" applyFont="1" applyBorder="1"/>
    <xf numFmtId="44" fontId="4" fillId="0" borderId="10" xfId="2" applyFont="1" applyFill="1" applyBorder="1"/>
    <xf numFmtId="0" fontId="4" fillId="2" borderId="9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4" fontId="0" fillId="3" borderId="14" xfId="2" applyFont="1" applyFill="1" applyBorder="1"/>
    <xf numFmtId="44" fontId="0" fillId="3" borderId="15" xfId="2" applyFont="1" applyFill="1" applyBorder="1"/>
    <xf numFmtId="0" fontId="0" fillId="0" borderId="9" xfId="0" applyBorder="1"/>
    <xf numFmtId="44" fontId="4" fillId="0" borderId="6" xfId="2" applyFont="1" applyFill="1" applyBorder="1"/>
    <xf numFmtId="44" fontId="4" fillId="0" borderId="7" xfId="0" applyNumberFormat="1" applyFont="1" applyBorder="1"/>
    <xf numFmtId="44" fontId="4" fillId="3" borderId="1" xfId="2" applyFont="1" applyFill="1" applyBorder="1"/>
    <xf numFmtId="9" fontId="0" fillId="0" borderId="13" xfId="3" applyFont="1" applyBorder="1"/>
    <xf numFmtId="9" fontId="0" fillId="0" borderId="14" xfId="3" applyFont="1" applyBorder="1"/>
    <xf numFmtId="9" fontId="0" fillId="0" borderId="15" xfId="3" applyFont="1" applyBorder="1"/>
    <xf numFmtId="0" fontId="4" fillId="8" borderId="6" xfId="0" applyFont="1" applyFill="1" applyBorder="1" applyAlignment="1">
      <alignment horizontal="center"/>
    </xf>
    <xf numFmtId="0" fontId="4" fillId="8" borderId="7" xfId="0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10" fontId="0" fillId="0" borderId="5" xfId="3" applyNumberFormat="1" applyFont="1" applyFill="1" applyBorder="1"/>
    <xf numFmtId="0" fontId="8" fillId="0" borderId="6" xfId="0" applyFont="1" applyBorder="1" applyAlignment="1">
      <alignment horizontal="center"/>
    </xf>
    <xf numFmtId="10" fontId="0" fillId="0" borderId="7" xfId="3" applyNumberFormat="1" applyFont="1" applyFill="1" applyBorder="1"/>
    <xf numFmtId="0" fontId="8" fillId="0" borderId="0" xfId="0" applyFont="1"/>
    <xf numFmtId="44" fontId="4" fillId="0" borderId="6" xfId="0" applyNumberFormat="1" applyFont="1" applyBorder="1" applyAlignment="1">
      <alignment horizontal="center"/>
    </xf>
    <xf numFmtId="44" fontId="4" fillId="0" borderId="7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" xfId="0" applyFont="1" applyBorder="1"/>
    <xf numFmtId="0" fontId="8" fillId="7" borderId="2" xfId="0" applyFont="1" applyFill="1" applyBorder="1"/>
    <xf numFmtId="10" fontId="8" fillId="7" borderId="3" xfId="0" applyNumberFormat="1" applyFont="1" applyFill="1" applyBorder="1"/>
    <xf numFmtId="0" fontId="8" fillId="7" borderId="6" xfId="0" applyFont="1" applyFill="1" applyBorder="1"/>
    <xf numFmtId="8" fontId="8" fillId="7" borderId="7" xfId="0" applyNumberFormat="1" applyFont="1" applyFill="1" applyBorder="1"/>
    <xf numFmtId="44" fontId="4" fillId="0" borderId="9" xfId="2" applyFont="1" applyBorder="1" applyAlignment="1">
      <alignment horizontal="center"/>
    </xf>
    <xf numFmtId="10" fontId="3" fillId="0" borderId="14" xfId="3" applyNumberFormat="1" applyFont="1" applyBorder="1"/>
    <xf numFmtId="10" fontId="0" fillId="0" borderId="14" xfId="3" applyNumberFormat="1" applyFont="1" applyBorder="1"/>
    <xf numFmtId="10" fontId="0" fillId="0" borderId="15" xfId="3" applyNumberFormat="1" applyFont="1" applyBorder="1"/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/>
    <xf numFmtId="44" fontId="4" fillId="0" borderId="9" xfId="0" applyNumberFormat="1" applyFont="1" applyBorder="1" applyAlignment="1">
      <alignment horizontal="center"/>
    </xf>
    <xf numFmtId="44" fontId="4" fillId="0" borderId="9" xfId="2" applyFont="1" applyBorder="1"/>
    <xf numFmtId="44" fontId="4" fillId="0" borderId="7" xfId="2" applyFont="1" applyBorder="1"/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0" fontId="9" fillId="2" borderId="15" xfId="3" applyNumberFormat="1" applyFont="1" applyFill="1" applyBorder="1"/>
    <xf numFmtId="9" fontId="4" fillId="2" borderId="1" xfId="3" applyFont="1" applyFill="1" applyBorder="1"/>
    <xf numFmtId="0" fontId="4" fillId="10" borderId="9" xfId="0" applyFont="1" applyFill="1" applyBorder="1" applyAlignment="1">
      <alignment horizontal="center" vertical="center"/>
    </xf>
    <xf numFmtId="44" fontId="0" fillId="10" borderId="0" xfId="2" applyFont="1" applyFill="1" applyBorder="1"/>
    <xf numFmtId="44" fontId="0" fillId="10" borderId="9" xfId="2" applyFont="1" applyFill="1" applyBorder="1"/>
    <xf numFmtId="44" fontId="4" fillId="10" borderId="9" xfId="2" applyFont="1" applyFill="1" applyBorder="1"/>
    <xf numFmtId="10" fontId="11" fillId="0" borderId="14" xfId="3" applyNumberFormat="1" applyFont="1" applyBorder="1"/>
    <xf numFmtId="44" fontId="4" fillId="10" borderId="11" xfId="2" applyFont="1" applyFill="1" applyBorder="1"/>
    <xf numFmtId="10" fontId="12" fillId="0" borderId="1" xfId="3" applyNumberFormat="1" applyFont="1" applyBorder="1"/>
    <xf numFmtId="0" fontId="2" fillId="11" borderId="10" xfId="0" applyFont="1" applyFill="1" applyBorder="1" applyAlignment="1">
      <alignment horizontal="center"/>
    </xf>
    <xf numFmtId="0" fontId="2" fillId="11" borderId="11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/>
    <xf numFmtId="0" fontId="0" fillId="0" borderId="4" xfId="0" applyBorder="1" applyAlignment="1">
      <alignment horizontal="center"/>
    </xf>
    <xf numFmtId="15" fontId="0" fillId="0" borderId="0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44" fontId="0" fillId="0" borderId="4" xfId="2" applyFont="1" applyBorder="1"/>
    <xf numFmtId="44" fontId="0" fillId="0" borderId="5" xfId="2" applyFont="1" applyBorder="1"/>
    <xf numFmtId="0" fontId="0" fillId="0" borderId="6" xfId="0" applyBorder="1" applyAlignment="1">
      <alignment horizontal="center"/>
    </xf>
    <xf numFmtId="15" fontId="0" fillId="0" borderId="9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44" fontId="0" fillId="0" borderId="6" xfId="2" applyFont="1" applyBorder="1"/>
    <xf numFmtId="0" fontId="0" fillId="0" borderId="0" xfId="0" applyAlignment="1"/>
    <xf numFmtId="164" fontId="0" fillId="0" borderId="0" xfId="1" applyNumberFormat="1" applyFont="1"/>
    <xf numFmtId="168" fontId="0" fillId="0" borderId="0" xfId="1" applyNumberFormat="1" applyFont="1"/>
    <xf numFmtId="168" fontId="0" fillId="0" borderId="0" xfId="0" applyNumberFormat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0" applyFont="1" applyBorder="1"/>
    <xf numFmtId="0" fontId="10" fillId="0" borderId="0" xfId="0" applyFont="1" applyBorder="1"/>
    <xf numFmtId="44" fontId="6" fillId="0" borderId="0" xfId="2" applyFont="1" applyBorder="1"/>
    <xf numFmtId="0" fontId="8" fillId="0" borderId="0" xfId="0" applyFont="1" applyBorder="1" applyAlignment="1">
      <alignment horizontal="left"/>
    </xf>
    <xf numFmtId="0" fontId="8" fillId="9" borderId="0" xfId="0" applyFont="1" applyFill="1" applyBorder="1" applyAlignment="1">
      <alignment horizontal="left"/>
    </xf>
    <xf numFmtId="0" fontId="6" fillId="6" borderId="10" xfId="0" applyFont="1" applyFill="1" applyBorder="1" applyAlignment="1">
      <alignment horizontal="right"/>
    </xf>
    <xf numFmtId="44" fontId="6" fillId="6" borderId="12" xfId="2" applyFont="1" applyFill="1" applyBorder="1"/>
    <xf numFmtId="0" fontId="13" fillId="0" borderId="0" xfId="4"/>
    <xf numFmtId="0" fontId="14" fillId="3" borderId="0" xfId="0" applyFont="1" applyFill="1" applyBorder="1" applyAlignment="1">
      <alignment horizontal="left" wrapText="1"/>
    </xf>
    <xf numFmtId="0" fontId="0" fillId="3" borderId="0" xfId="0" applyFill="1"/>
    <xf numFmtId="0" fontId="15" fillId="0" borderId="0" xfId="0" applyFont="1"/>
    <xf numFmtId="0" fontId="16" fillId="7" borderId="2" xfId="0" applyFont="1" applyFill="1" applyBorder="1"/>
    <xf numFmtId="10" fontId="16" fillId="7" borderId="5" xfId="0" applyNumberFormat="1" applyFont="1" applyFill="1" applyBorder="1"/>
    <xf numFmtId="0" fontId="16" fillId="7" borderId="6" xfId="0" applyFont="1" applyFill="1" applyBorder="1"/>
    <xf numFmtId="8" fontId="16" fillId="7" borderId="7" xfId="0" applyNumberFormat="1" applyFont="1" applyFill="1" applyBorder="1"/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4" fontId="0" fillId="2" borderId="5" xfId="2" applyFont="1" applyFill="1" applyBorder="1"/>
    <xf numFmtId="44" fontId="0" fillId="2" borderId="7" xfId="2" applyFont="1" applyFill="1" applyBorder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4" fontId="0" fillId="0" borderId="4" xfId="0" applyNumberFormat="1" applyBorder="1"/>
    <xf numFmtId="44" fontId="0" fillId="0" borderId="5" xfId="0" applyNumberFormat="1" applyBorder="1"/>
    <xf numFmtId="44" fontId="4" fillId="0" borderId="10" xfId="0" applyNumberFormat="1" applyFont="1" applyBorder="1"/>
    <xf numFmtId="0" fontId="8" fillId="0" borderId="0" xfId="0" applyFont="1" applyFill="1" applyBorder="1"/>
    <xf numFmtId="8" fontId="8" fillId="0" borderId="0" xfId="0" applyNumberFormat="1" applyFont="1" applyFill="1" applyBorder="1"/>
    <xf numFmtId="0" fontId="0" fillId="0" borderId="0" xfId="0" applyFill="1"/>
    <xf numFmtId="0" fontId="19" fillId="0" borderId="0" xfId="0" applyFont="1"/>
    <xf numFmtId="0" fontId="4" fillId="0" borderId="0" xfId="0" applyFont="1" applyAlignment="1">
      <alignment horizontal="right"/>
    </xf>
    <xf numFmtId="166" fontId="4" fillId="0" borderId="0" xfId="0" applyNumberFormat="1" applyFont="1"/>
    <xf numFmtId="44" fontId="9" fillId="0" borderId="6" xfId="0" applyNumberFormat="1" applyFont="1" applyBorder="1" applyAlignment="1">
      <alignment horizontal="center"/>
    </xf>
    <xf numFmtId="0" fontId="4" fillId="0" borderId="2" xfId="0" applyFont="1" applyBorder="1"/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44" fontId="4" fillId="0" borderId="13" xfId="2" applyFont="1" applyBorder="1" applyAlignment="1">
      <alignment vertical="center"/>
    </xf>
    <xf numFmtId="0" fontId="4" fillId="0" borderId="4" xfId="0" applyFont="1" applyBorder="1" applyAlignment="1">
      <alignment wrapText="1"/>
    </xf>
    <xf numFmtId="10" fontId="4" fillId="0" borderId="14" xfId="3" applyNumberFormat="1" applyFont="1" applyBorder="1"/>
    <xf numFmtId="0" fontId="4" fillId="0" borderId="4" xfId="0" applyFont="1" applyBorder="1"/>
    <xf numFmtId="44" fontId="4" fillId="0" borderId="14" xfId="2" applyFont="1" applyBorder="1"/>
    <xf numFmtId="0" fontId="4" fillId="0" borderId="6" xfId="0" applyFont="1" applyBorder="1"/>
    <xf numFmtId="10" fontId="4" fillId="0" borderId="15" xfId="3" applyNumberFormat="1" applyFont="1" applyBorder="1"/>
    <xf numFmtId="44" fontId="0" fillId="0" borderId="0" xfId="2" applyFont="1"/>
    <xf numFmtId="44" fontId="0" fillId="0" borderId="0" xfId="0" applyNumberFormat="1"/>
    <xf numFmtId="0" fontId="0" fillId="0" borderId="2" xfId="0" applyBorder="1"/>
    <xf numFmtId="0" fontId="4" fillId="0" borderId="8" xfId="0" applyFont="1" applyBorder="1"/>
    <xf numFmtId="0" fontId="4" fillId="0" borderId="6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4" fontId="0" fillId="0" borderId="7" xfId="0" applyNumberFormat="1" applyBorder="1"/>
    <xf numFmtId="0" fontId="15" fillId="0" borderId="0" xfId="0" applyFont="1" applyFill="1" applyBorder="1"/>
    <xf numFmtId="44" fontId="4" fillId="0" borderId="0" xfId="2" applyFont="1"/>
    <xf numFmtId="43" fontId="0" fillId="0" borderId="0" xfId="1" applyFont="1"/>
    <xf numFmtId="43" fontId="0" fillId="0" borderId="0" xfId="0" applyNumberFormat="1"/>
    <xf numFmtId="44" fontId="4" fillId="0" borderId="9" xfId="0" applyNumberFormat="1" applyFont="1" applyBorder="1"/>
    <xf numFmtId="0" fontId="18" fillId="5" borderId="10" xfId="0" applyFont="1" applyFill="1" applyBorder="1" applyAlignment="1">
      <alignment horizontal="center"/>
    </xf>
    <xf numFmtId="0" fontId="18" fillId="5" borderId="11" xfId="0" applyFont="1" applyFill="1" applyBorder="1" applyAlignment="1">
      <alignment horizontal="center"/>
    </xf>
    <xf numFmtId="0" fontId="18" fillId="5" borderId="12" xfId="0" applyFont="1" applyFill="1" applyBorder="1" applyAlignment="1">
      <alignment horizontal="center"/>
    </xf>
    <xf numFmtId="0" fontId="17" fillId="5" borderId="6" xfId="0" applyFont="1" applyFill="1" applyBorder="1" applyAlignment="1">
      <alignment horizontal="center"/>
    </xf>
    <xf numFmtId="0" fontId="17" fillId="5" borderId="9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8" xfId="0" applyFont="1" applyFill="1" applyBorder="1" applyAlignment="1">
      <alignment horizontal="center"/>
    </xf>
    <xf numFmtId="0" fontId="17" fillId="5" borderId="3" xfId="0" applyFont="1" applyFill="1" applyBorder="1" applyAlignment="1">
      <alignment horizontal="center"/>
    </xf>
    <xf numFmtId="0" fontId="17" fillId="5" borderId="10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12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164" fontId="8" fillId="0" borderId="0" xfId="1" applyNumberFormat="1" applyFont="1" applyBorder="1" applyAlignment="1">
      <alignment horizontal="center"/>
    </xf>
    <xf numFmtId="10" fontId="8" fillId="9" borderId="0" xfId="0" applyNumberFormat="1" applyFont="1" applyFill="1" applyBorder="1" applyAlignment="1">
      <alignment horizontal="right"/>
    </xf>
    <xf numFmtId="0" fontId="6" fillId="7" borderId="10" xfId="0" applyFont="1" applyFill="1" applyBorder="1" applyAlignment="1">
      <alignment horizontal="center"/>
    </xf>
    <xf numFmtId="0" fontId="6" fillId="7" borderId="11" xfId="0" applyFont="1" applyFill="1" applyBorder="1" applyAlignment="1">
      <alignment horizontal="center"/>
    </xf>
    <xf numFmtId="0" fontId="6" fillId="7" borderId="12" xfId="0" applyFont="1" applyFill="1" applyBorder="1" applyAlignment="1">
      <alignment horizontal="center"/>
    </xf>
    <xf numFmtId="44" fontId="4" fillId="0" borderId="8" xfId="2" applyFont="1" applyBorder="1" applyAlignment="1">
      <alignment horizontal="center" vertical="center"/>
    </xf>
    <xf numFmtId="44" fontId="4" fillId="0" borderId="3" xfId="2" applyFont="1" applyBorder="1" applyAlignment="1">
      <alignment horizontal="center" vertical="center"/>
    </xf>
    <xf numFmtId="44" fontId="4" fillId="0" borderId="9" xfId="2" applyFont="1" applyBorder="1" applyAlignment="1">
      <alignment horizontal="center" vertical="center"/>
    </xf>
    <xf numFmtId="44" fontId="4" fillId="0" borderId="7" xfId="2" applyFont="1" applyBorder="1" applyAlignment="1">
      <alignment horizontal="center" vertical="center"/>
    </xf>
    <xf numFmtId="44" fontId="12" fillId="0" borderId="14" xfId="2" applyFont="1" applyBorder="1"/>
    <xf numFmtId="10" fontId="12" fillId="0" borderId="15" xfId="3" applyNumberFormat="1" applyFont="1" applyBorder="1"/>
    <xf numFmtId="0" fontId="0" fillId="0" borderId="4" xfId="0" applyBorder="1" applyAlignment="1">
      <alignment wrapText="1"/>
    </xf>
    <xf numFmtId="0" fontId="6" fillId="0" borderId="1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</cellXfs>
  <cellStyles count="5">
    <cellStyle name="Hipervínculo" xfId="4" builtinId="8"/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b.mx/shcp/documentos/tasa-social-de-descuento-ts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workbookViewId="0">
      <selection sqref="A1:H1"/>
    </sheetView>
  </sheetViews>
  <sheetFormatPr baseColWidth="10" defaultRowHeight="14.4" x14ac:dyDescent="0.3"/>
  <cols>
    <col min="1" max="1" width="33.5546875" customWidth="1"/>
    <col min="2" max="2" width="19.44140625" customWidth="1"/>
    <col min="3" max="3" width="18.5546875" customWidth="1"/>
    <col min="4" max="4" width="14" customWidth="1"/>
    <col min="5" max="5" width="16.6640625" customWidth="1"/>
    <col min="6" max="6" width="14.109375" customWidth="1"/>
    <col min="7" max="7" width="15.5546875" customWidth="1"/>
    <col min="8" max="8" width="14.33203125" customWidth="1"/>
    <col min="10" max="10" width="14.77734375" bestFit="1" customWidth="1"/>
  </cols>
  <sheetData>
    <row r="1" spans="1:8" s="213" customFormat="1" ht="18.600000000000001" thickBot="1" x14ac:dyDescent="0.4">
      <c r="A1" s="240" t="s">
        <v>82</v>
      </c>
      <c r="B1" s="241"/>
      <c r="C1" s="241"/>
      <c r="D1" s="241"/>
      <c r="E1" s="241"/>
      <c r="F1" s="241"/>
      <c r="G1" s="241"/>
      <c r="H1" s="242"/>
    </row>
    <row r="2" spans="1:8" ht="43.8" thickBot="1" x14ac:dyDescent="0.35">
      <c r="B2" s="16" t="s">
        <v>3</v>
      </c>
      <c r="C2" s="17" t="s">
        <v>4</v>
      </c>
      <c r="D2" s="18" t="s">
        <v>15</v>
      </c>
      <c r="E2" s="19" t="s">
        <v>14</v>
      </c>
      <c r="F2" s="42" t="s">
        <v>13</v>
      </c>
      <c r="G2" s="19" t="s">
        <v>5</v>
      </c>
      <c r="H2" s="66" t="s">
        <v>20</v>
      </c>
    </row>
    <row r="3" spans="1:8" ht="15" thickBot="1" x14ac:dyDescent="0.35">
      <c r="A3" s="27" t="s">
        <v>6</v>
      </c>
      <c r="B3" s="28">
        <v>11363515.85</v>
      </c>
      <c r="C3" s="29">
        <v>40393817.93</v>
      </c>
      <c r="D3" s="29">
        <f t="shared" ref="D3:D9" si="0">+B3/G3</f>
        <v>184.99999999999997</v>
      </c>
      <c r="E3" s="30">
        <f t="shared" ref="E3:E9" si="1">+F3*D3</f>
        <v>53.124586436646034</v>
      </c>
      <c r="F3" s="1">
        <f t="shared" ref="F3:F9" si="2">+G3/$G$10</f>
        <v>0.28715992668457319</v>
      </c>
      <c r="G3" s="64">
        <v>61424.41</v>
      </c>
      <c r="H3" s="63">
        <v>41319</v>
      </c>
    </row>
    <row r="4" spans="1:8" x14ac:dyDescent="0.3">
      <c r="A4" s="31" t="s">
        <v>7</v>
      </c>
      <c r="B4" s="28">
        <v>1911534.7</v>
      </c>
      <c r="C4" s="29">
        <v>9196031.8000000007</v>
      </c>
      <c r="D4" s="29">
        <f t="shared" si="0"/>
        <v>184.99999999999997</v>
      </c>
      <c r="E4" s="30">
        <f t="shared" si="1"/>
        <v>8.9364499277570211</v>
      </c>
      <c r="F4" s="1">
        <f t="shared" si="2"/>
        <v>4.830513474463255E-2</v>
      </c>
      <c r="G4" s="64">
        <v>10332.620000000001</v>
      </c>
      <c r="H4" s="67">
        <v>41513</v>
      </c>
    </row>
    <row r="5" spans="1:8" x14ac:dyDescent="0.3">
      <c r="A5" s="32" t="s">
        <v>8</v>
      </c>
      <c r="B5" s="28">
        <v>1915734.2</v>
      </c>
      <c r="C5" s="29">
        <v>1926143.91</v>
      </c>
      <c r="D5" s="29">
        <f t="shared" si="0"/>
        <v>185</v>
      </c>
      <c r="E5" s="30">
        <f t="shared" si="1"/>
        <v>8.9560826456311009</v>
      </c>
      <c r="F5" s="1">
        <f t="shared" si="2"/>
        <v>4.8411257543951897E-2</v>
      </c>
      <c r="G5" s="64">
        <v>10355.32</v>
      </c>
      <c r="H5" s="67">
        <f>+H3</f>
        <v>41319</v>
      </c>
    </row>
    <row r="6" spans="1:8" x14ac:dyDescent="0.3">
      <c r="A6" s="32" t="s">
        <v>9</v>
      </c>
      <c r="B6" s="28">
        <v>2003522.25</v>
      </c>
      <c r="C6" s="29">
        <v>1926143.91</v>
      </c>
      <c r="D6" s="29">
        <f t="shared" si="0"/>
        <v>185</v>
      </c>
      <c r="E6" s="30">
        <f t="shared" si="1"/>
        <v>9.3664929369433292</v>
      </c>
      <c r="F6" s="1">
        <f t="shared" si="2"/>
        <v>5.062969155104502E-2</v>
      </c>
      <c r="G6" s="64">
        <v>10829.85</v>
      </c>
      <c r="H6" s="67">
        <f>+H5</f>
        <v>41319</v>
      </c>
    </row>
    <row r="7" spans="1:8" x14ac:dyDescent="0.3">
      <c r="A7" s="32" t="s">
        <v>10</v>
      </c>
      <c r="B7" s="28">
        <v>3692331.75</v>
      </c>
      <c r="C7" s="29">
        <v>17762620</v>
      </c>
      <c r="D7" s="29">
        <f t="shared" si="0"/>
        <v>185</v>
      </c>
      <c r="E7" s="30">
        <f t="shared" si="1"/>
        <v>17.26169961787377</v>
      </c>
      <c r="F7" s="1">
        <f t="shared" si="2"/>
        <v>9.3306484420939306E-2</v>
      </c>
      <c r="G7" s="64">
        <v>19958.55</v>
      </c>
      <c r="H7" s="67">
        <f t="shared" ref="H7:H9" si="3">+H6</f>
        <v>41319</v>
      </c>
    </row>
    <row r="8" spans="1:8" x14ac:dyDescent="0.3">
      <c r="A8" s="32" t="s">
        <v>11</v>
      </c>
      <c r="B8" s="28">
        <v>15027374.25</v>
      </c>
      <c r="C8" s="29">
        <v>14102491.609999999</v>
      </c>
      <c r="D8" s="29">
        <f t="shared" si="0"/>
        <v>185</v>
      </c>
      <c r="E8" s="30">
        <f t="shared" si="1"/>
        <v>70.253172767823784</v>
      </c>
      <c r="F8" s="1">
        <f t="shared" si="2"/>
        <v>0.37974687982607452</v>
      </c>
      <c r="G8" s="64">
        <v>81229.05</v>
      </c>
      <c r="H8" s="67">
        <f t="shared" si="3"/>
        <v>41319</v>
      </c>
    </row>
    <row r="9" spans="1:8" ht="15" thickBot="1" x14ac:dyDescent="0.35">
      <c r="A9" s="33" t="s">
        <v>12</v>
      </c>
      <c r="B9" s="34">
        <v>3658067.9</v>
      </c>
      <c r="C9" s="29">
        <v>3677995.5</v>
      </c>
      <c r="D9" s="35">
        <f t="shared" si="0"/>
        <v>185</v>
      </c>
      <c r="E9" s="36">
        <f t="shared" si="1"/>
        <v>17.101515667324939</v>
      </c>
      <c r="F9" s="1">
        <f t="shared" si="2"/>
        <v>9.2440625228783449E-2</v>
      </c>
      <c r="G9" s="65">
        <v>19773.34</v>
      </c>
      <c r="H9" s="68">
        <f t="shared" si="3"/>
        <v>41319</v>
      </c>
    </row>
    <row r="10" spans="1:8" ht="16.2" thickBot="1" x14ac:dyDescent="0.35">
      <c r="A10" s="37" t="s">
        <v>19</v>
      </c>
      <c r="B10" s="38">
        <f>SUM(B3:B9)</f>
        <v>39572080.899999999</v>
      </c>
      <c r="C10" s="39">
        <f>SUM(C3:C9)</f>
        <v>88985244.659999996</v>
      </c>
      <c r="D10" s="40">
        <f>AVERAGE(D3:D9)</f>
        <v>185</v>
      </c>
      <c r="E10" s="41">
        <f>SUM(E3:E9)</f>
        <v>184.99999999999997</v>
      </c>
      <c r="F10" s="2"/>
      <c r="G10" s="3">
        <f>SUM(G3:G9)</f>
        <v>213903.14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7"/>
  <sheetViews>
    <sheetView zoomScale="90" zoomScaleNormal="90" workbookViewId="0">
      <selection sqref="A1:C1"/>
    </sheetView>
  </sheetViews>
  <sheetFormatPr baseColWidth="10" defaultRowHeight="14.4" x14ac:dyDescent="0.3"/>
  <cols>
    <col min="1" max="1" width="30.6640625" bestFit="1" customWidth="1"/>
    <col min="2" max="3" width="16.6640625" bestFit="1" customWidth="1"/>
    <col min="4" max="4" width="16" bestFit="1" customWidth="1"/>
    <col min="5" max="5" width="10.21875" bestFit="1" customWidth="1"/>
    <col min="6" max="6" width="9.109375" bestFit="1" customWidth="1"/>
    <col min="7" max="7" width="9.44140625" bestFit="1" customWidth="1"/>
    <col min="8" max="8" width="15.88671875" bestFit="1" customWidth="1"/>
    <col min="9" max="9" width="18.44140625" bestFit="1" customWidth="1"/>
    <col min="10" max="10" width="5.21875" bestFit="1" customWidth="1"/>
    <col min="11" max="11" width="6.33203125" bestFit="1" customWidth="1"/>
    <col min="12" max="12" width="4.44140625" bestFit="1" customWidth="1"/>
    <col min="14" max="14" width="30.6640625" bestFit="1" customWidth="1"/>
    <col min="15" max="15" width="16.33203125" bestFit="1" customWidth="1"/>
    <col min="16" max="16" width="16.109375" bestFit="1" customWidth="1"/>
    <col min="17" max="17" width="16" bestFit="1" customWidth="1"/>
    <col min="18" max="18" width="10.21875" bestFit="1" customWidth="1"/>
    <col min="19" max="19" width="9.109375" bestFit="1" customWidth="1"/>
    <col min="20" max="20" width="9.44140625" bestFit="1" customWidth="1"/>
    <col min="21" max="21" width="16.33203125" bestFit="1" customWidth="1"/>
    <col min="22" max="22" width="19.109375" bestFit="1" customWidth="1"/>
    <col min="23" max="23" width="5.21875" bestFit="1" customWidth="1"/>
    <col min="24" max="24" width="6.88671875" bestFit="1" customWidth="1"/>
    <col min="25" max="25" width="4.77734375" bestFit="1" customWidth="1"/>
  </cols>
  <sheetData>
    <row r="1" spans="1:25" ht="15.6" x14ac:dyDescent="0.3">
      <c r="A1" s="246" t="s">
        <v>80</v>
      </c>
      <c r="B1" s="247"/>
      <c r="C1" s="248"/>
      <c r="D1" s="78"/>
      <c r="E1" s="78"/>
      <c r="F1" s="78"/>
      <c r="G1" s="78"/>
      <c r="H1" s="78"/>
      <c r="I1" s="78"/>
      <c r="J1" s="78"/>
      <c r="K1" s="78"/>
      <c r="L1" s="78"/>
      <c r="N1" s="246" t="s">
        <v>79</v>
      </c>
      <c r="O1" s="247"/>
      <c r="P1" s="248"/>
    </row>
    <row r="2" spans="1:25" ht="16.2" thickBot="1" x14ac:dyDescent="0.35">
      <c r="A2" s="243" t="s">
        <v>81</v>
      </c>
      <c r="B2" s="244"/>
      <c r="C2" s="245"/>
      <c r="D2" s="79"/>
      <c r="E2" s="79"/>
      <c r="F2" s="79"/>
      <c r="G2" s="79"/>
      <c r="H2" s="79"/>
      <c r="I2" s="79"/>
      <c r="J2" s="79"/>
      <c r="K2" s="79"/>
      <c r="L2" s="79"/>
      <c r="N2" s="243" t="s">
        <v>81</v>
      </c>
      <c r="O2" s="244"/>
      <c r="P2" s="245"/>
    </row>
    <row r="3" spans="1:25" x14ac:dyDescent="0.3">
      <c r="A3" s="4" t="s">
        <v>0</v>
      </c>
      <c r="B3" s="5" t="s">
        <v>16</v>
      </c>
      <c r="C3" s="6" t="s">
        <v>1</v>
      </c>
      <c r="D3" s="5"/>
      <c r="E3" s="5"/>
      <c r="F3" s="5"/>
      <c r="G3" s="5"/>
      <c r="H3" s="5"/>
      <c r="I3" s="5"/>
      <c r="J3" s="5"/>
      <c r="K3" s="5"/>
      <c r="L3" s="5"/>
      <c r="N3" s="4" t="s">
        <v>0</v>
      </c>
      <c r="O3" s="5" t="s">
        <v>16</v>
      </c>
      <c r="P3" s="6" t="s">
        <v>1</v>
      </c>
    </row>
    <row r="4" spans="1:25" ht="15" thickBot="1" x14ac:dyDescent="0.35">
      <c r="A4" s="7" t="s">
        <v>2</v>
      </c>
      <c r="B4" s="8">
        <v>350</v>
      </c>
      <c r="C4" s="9">
        <f>+B4*214655.394</f>
        <v>75129387.900000006</v>
      </c>
      <c r="D4" s="80"/>
      <c r="E4" s="80"/>
      <c r="F4" s="80"/>
      <c r="G4" s="80"/>
      <c r="H4" s="80"/>
      <c r="I4" s="80"/>
      <c r="J4" s="80"/>
      <c r="K4" s="80"/>
      <c r="L4" s="80"/>
      <c r="N4" s="7" t="s">
        <v>2</v>
      </c>
      <c r="O4" s="8"/>
      <c r="P4" s="9">
        <v>90000000</v>
      </c>
    </row>
    <row r="5" spans="1:25" x14ac:dyDescent="0.3">
      <c r="A5" s="214" t="s">
        <v>17</v>
      </c>
      <c r="B5" s="215">
        <f>+O5</f>
        <v>44378</v>
      </c>
      <c r="C5" s="62"/>
      <c r="D5" s="62"/>
      <c r="E5" s="62"/>
      <c r="F5" s="62"/>
      <c r="G5" s="62"/>
      <c r="H5" s="62"/>
      <c r="I5" s="62"/>
      <c r="J5" s="62"/>
      <c r="K5" s="62"/>
      <c r="L5" s="62"/>
      <c r="N5" s="214" t="s">
        <v>18</v>
      </c>
      <c r="O5" s="215">
        <v>44378</v>
      </c>
    </row>
    <row r="6" spans="1:25" ht="15" thickBot="1" x14ac:dyDescent="0.35"/>
    <row r="7" spans="1:25" ht="18.600000000000001" thickBot="1" x14ac:dyDescent="0.4">
      <c r="A7" s="240" t="s">
        <v>71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2"/>
      <c r="N7" s="240" t="s">
        <v>75</v>
      </c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2"/>
    </row>
    <row r="8" spans="1:25" ht="29.4" thickBot="1" x14ac:dyDescent="0.35">
      <c r="B8" s="114" t="s">
        <v>3</v>
      </c>
      <c r="C8" s="14" t="s">
        <v>13</v>
      </c>
      <c r="D8" s="15" t="s">
        <v>21</v>
      </c>
      <c r="E8" s="115" t="s">
        <v>28</v>
      </c>
      <c r="F8" s="116" t="s">
        <v>29</v>
      </c>
      <c r="G8" s="43" t="s">
        <v>72</v>
      </c>
      <c r="H8" s="98" t="s">
        <v>34</v>
      </c>
      <c r="I8" s="117" t="s">
        <v>27</v>
      </c>
      <c r="J8" s="43" t="s">
        <v>24</v>
      </c>
      <c r="K8" s="43" t="s">
        <v>25</v>
      </c>
      <c r="L8" s="110" t="s">
        <v>26</v>
      </c>
      <c r="O8" s="16" t="s">
        <v>3</v>
      </c>
      <c r="P8" s="17" t="s">
        <v>13</v>
      </c>
      <c r="Q8" s="18" t="s">
        <v>21</v>
      </c>
      <c r="R8" s="108" t="s">
        <v>22</v>
      </c>
      <c r="S8" s="108" t="s">
        <v>23</v>
      </c>
      <c r="T8" s="111" t="s">
        <v>76</v>
      </c>
      <c r="U8" s="109" t="s">
        <v>34</v>
      </c>
      <c r="V8" s="112" t="s">
        <v>27</v>
      </c>
      <c r="W8" s="111" t="s">
        <v>24</v>
      </c>
      <c r="X8" s="111" t="s">
        <v>25</v>
      </c>
      <c r="Y8" s="113" t="s">
        <v>26</v>
      </c>
    </row>
    <row r="9" spans="1:25" x14ac:dyDescent="0.3">
      <c r="A9" s="20" t="s">
        <v>6</v>
      </c>
      <c r="B9" s="50">
        <v>11363515.85</v>
      </c>
      <c r="C9" s="44">
        <v>0.28715992668457319</v>
      </c>
      <c r="D9" s="45">
        <f>+C9*$C$16</f>
        <v>21574149.521220863</v>
      </c>
      <c r="E9" s="92">
        <v>184.99999999999997</v>
      </c>
      <c r="F9" s="93">
        <f>+D9/Antecedentes!G3</f>
        <v>351.23087907919444</v>
      </c>
      <c r="G9" s="45">
        <f>+F9-E9</f>
        <v>166.23087907919447</v>
      </c>
      <c r="H9" s="86">
        <f>+F9/E9-1</f>
        <v>0.89854529231997016</v>
      </c>
      <c r="I9" s="91">
        <v>8.3808219178082197</v>
      </c>
      <c r="J9" s="88">
        <v>8</v>
      </c>
      <c r="K9" s="88">
        <v>4</v>
      </c>
      <c r="L9" s="11">
        <v>17</v>
      </c>
      <c r="N9" s="22" t="s">
        <v>6</v>
      </c>
      <c r="O9" s="50">
        <v>11363515.85</v>
      </c>
      <c r="P9" s="44">
        <f>+Antecedentes!F3</f>
        <v>0.28715992668457319</v>
      </c>
      <c r="Q9" s="45">
        <f>+P9*$P$16</f>
        <v>25844393.401611585</v>
      </c>
      <c r="R9" s="54">
        <f>+Antecedentes!D3</f>
        <v>184.99999999999997</v>
      </c>
      <c r="S9" s="55">
        <f>+Q9/Antecedentes!G3</f>
        <v>420.75118672872208</v>
      </c>
      <c r="T9" s="45">
        <f>+S9-R9</f>
        <v>235.7511867287221</v>
      </c>
      <c r="U9" s="75">
        <f>+S9/R9-1</f>
        <v>1.2743307390741738</v>
      </c>
      <c r="V9" s="69">
        <f>+($O$5-Antecedentes!H3)/365</f>
        <v>8.3808219178082197</v>
      </c>
      <c r="W9" s="70">
        <v>8</v>
      </c>
      <c r="X9" s="70">
        <v>4</v>
      </c>
      <c r="Y9" s="71">
        <v>17</v>
      </c>
    </row>
    <row r="10" spans="1:25" x14ac:dyDescent="0.3">
      <c r="A10" s="81" t="s">
        <v>7</v>
      </c>
      <c r="B10" s="21">
        <v>1911534.7</v>
      </c>
      <c r="C10" s="46">
        <v>4.830513474463255E-2</v>
      </c>
      <c r="D10" s="47">
        <f t="shared" ref="D10:D15" si="0">+C10*$C$16</f>
        <v>3629135.2057912666</v>
      </c>
      <c r="E10" s="94">
        <v>184.99999999999997</v>
      </c>
      <c r="F10" s="95">
        <f>+D10/Antecedentes!G4</f>
        <v>351.23087907919449</v>
      </c>
      <c r="G10" s="47">
        <f t="shared" ref="G10:G15" si="1">+F10-E10</f>
        <v>166.23087907919452</v>
      </c>
      <c r="H10" s="83">
        <f t="shared" ref="H10:H15" si="2">+F10/E10-1</f>
        <v>0.8985452923199706</v>
      </c>
      <c r="I10" s="69">
        <v>7.8493150684931505</v>
      </c>
      <c r="J10" s="70">
        <v>7</v>
      </c>
      <c r="K10" s="70">
        <v>10</v>
      </c>
      <c r="L10" s="71">
        <v>6</v>
      </c>
      <c r="N10" s="23" t="s">
        <v>7</v>
      </c>
      <c r="O10" s="21">
        <v>1911534.7</v>
      </c>
      <c r="P10" s="46">
        <f>+Antecedentes!F4</f>
        <v>4.830513474463255E-2</v>
      </c>
      <c r="Q10" s="47">
        <f t="shared" ref="Q10:Q15" si="3">+P10*$P$16</f>
        <v>4347462.1270169299</v>
      </c>
      <c r="R10" s="56">
        <f>+Antecedentes!D4</f>
        <v>184.99999999999997</v>
      </c>
      <c r="S10" s="57">
        <f>+Q10/Antecedentes!G4</f>
        <v>420.75118672872219</v>
      </c>
      <c r="T10" s="47">
        <f t="shared" ref="T10:T15" si="4">+S10-R10</f>
        <v>235.75118672872222</v>
      </c>
      <c r="U10" s="76">
        <f t="shared" ref="U10:U15" si="5">+S10/R10-1</f>
        <v>1.2743307390741743</v>
      </c>
      <c r="V10" s="69">
        <f>+($O$5-Antecedentes!H4)/365</f>
        <v>7.8493150684931505</v>
      </c>
      <c r="W10" s="70">
        <v>7</v>
      </c>
      <c r="X10" s="70">
        <v>10</v>
      </c>
      <c r="Y10" s="71">
        <v>6</v>
      </c>
    </row>
    <row r="11" spans="1:25" x14ac:dyDescent="0.3">
      <c r="A11" s="81" t="s">
        <v>8</v>
      </c>
      <c r="B11" s="21">
        <v>1915734.2</v>
      </c>
      <c r="C11" s="46">
        <v>4.8411257543951897E-2</v>
      </c>
      <c r="D11" s="47">
        <f t="shared" si="0"/>
        <v>3637108.1467463635</v>
      </c>
      <c r="E11" s="94">
        <v>185</v>
      </c>
      <c r="F11" s="95">
        <f>+D11/Antecedentes!G5</f>
        <v>351.23087907919444</v>
      </c>
      <c r="G11" s="47">
        <f t="shared" si="1"/>
        <v>166.23087907919444</v>
      </c>
      <c r="H11" s="83">
        <f t="shared" si="2"/>
        <v>0.89854529231996993</v>
      </c>
      <c r="I11" s="69">
        <v>8.3808219178082197</v>
      </c>
      <c r="J11" s="70">
        <v>8</v>
      </c>
      <c r="K11" s="70">
        <v>4</v>
      </c>
      <c r="L11" s="71">
        <v>17</v>
      </c>
      <c r="N11" s="23" t="s">
        <v>8</v>
      </c>
      <c r="O11" s="21">
        <v>1915734.2</v>
      </c>
      <c r="P11" s="46">
        <f>+Antecedentes!F5</f>
        <v>4.8411257543951897E-2</v>
      </c>
      <c r="Q11" s="47">
        <f t="shared" si="3"/>
        <v>4357013.1789556704</v>
      </c>
      <c r="R11" s="56">
        <f>+Antecedentes!D5</f>
        <v>185</v>
      </c>
      <c r="S11" s="57">
        <f>+Q11/Antecedentes!G5</f>
        <v>420.75118672872208</v>
      </c>
      <c r="T11" s="47">
        <f t="shared" si="4"/>
        <v>235.75118672872208</v>
      </c>
      <c r="U11" s="76">
        <f t="shared" si="5"/>
        <v>1.2743307390741734</v>
      </c>
      <c r="V11" s="69">
        <f>+($O$5-Antecedentes!H5)/365</f>
        <v>8.3808219178082197</v>
      </c>
      <c r="W11" s="70">
        <v>8</v>
      </c>
      <c r="X11" s="70">
        <v>4</v>
      </c>
      <c r="Y11" s="71">
        <v>17</v>
      </c>
    </row>
    <row r="12" spans="1:25" x14ac:dyDescent="0.3">
      <c r="A12" s="81" t="s">
        <v>9</v>
      </c>
      <c r="B12" s="21">
        <v>2003522.25</v>
      </c>
      <c r="C12" s="46">
        <v>5.062969155104502E-2</v>
      </c>
      <c r="D12" s="47">
        <f t="shared" si="0"/>
        <v>3803777.7357958141</v>
      </c>
      <c r="E12" s="94">
        <v>185</v>
      </c>
      <c r="F12" s="95">
        <f>+D12/Antecedentes!G6</f>
        <v>351.23087907919444</v>
      </c>
      <c r="G12" s="47">
        <f t="shared" si="1"/>
        <v>166.23087907919444</v>
      </c>
      <c r="H12" s="83">
        <f t="shared" si="2"/>
        <v>0.89854529231996993</v>
      </c>
      <c r="I12" s="69">
        <v>8.3808219178082197</v>
      </c>
      <c r="J12" s="70">
        <v>8</v>
      </c>
      <c r="K12" s="70">
        <v>4</v>
      </c>
      <c r="L12" s="71">
        <v>17</v>
      </c>
      <c r="N12" s="23" t="s">
        <v>9</v>
      </c>
      <c r="O12" s="21">
        <v>2003522.25</v>
      </c>
      <c r="P12" s="46">
        <f>+Antecedentes!F6</f>
        <v>5.062969155104502E-2</v>
      </c>
      <c r="Q12" s="47">
        <f t="shared" si="3"/>
        <v>4556672.2395940516</v>
      </c>
      <c r="R12" s="56">
        <f>+Antecedentes!D6</f>
        <v>185</v>
      </c>
      <c r="S12" s="57">
        <f>+Q12/Antecedentes!G6</f>
        <v>420.75118672872213</v>
      </c>
      <c r="T12" s="47">
        <f t="shared" si="4"/>
        <v>235.75118672872213</v>
      </c>
      <c r="U12" s="76">
        <f t="shared" si="5"/>
        <v>1.2743307390741738</v>
      </c>
      <c r="V12" s="69">
        <f>+($O$5-Antecedentes!H6)/365</f>
        <v>8.3808219178082197</v>
      </c>
      <c r="W12" s="70">
        <v>8</v>
      </c>
      <c r="X12" s="70">
        <v>4</v>
      </c>
      <c r="Y12" s="71">
        <v>17</v>
      </c>
    </row>
    <row r="13" spans="1:25" x14ac:dyDescent="0.3">
      <c r="A13" s="81" t="s">
        <v>10</v>
      </c>
      <c r="B13" s="21">
        <v>3692331.75</v>
      </c>
      <c r="C13" s="46">
        <v>9.3306484420939306E-2</v>
      </c>
      <c r="D13" s="47">
        <f t="shared" si="0"/>
        <v>7010059.0616460564</v>
      </c>
      <c r="E13" s="94">
        <v>185</v>
      </c>
      <c r="F13" s="95">
        <f>+D13/Antecedentes!G7</f>
        <v>351.23087907919444</v>
      </c>
      <c r="G13" s="47">
        <f t="shared" si="1"/>
        <v>166.23087907919444</v>
      </c>
      <c r="H13" s="83">
        <f t="shared" si="2"/>
        <v>0.89854529231996993</v>
      </c>
      <c r="I13" s="69">
        <v>8.3808219178082197</v>
      </c>
      <c r="J13" s="70">
        <v>8</v>
      </c>
      <c r="K13" s="70">
        <v>4</v>
      </c>
      <c r="L13" s="71">
        <v>17</v>
      </c>
      <c r="N13" s="23" t="s">
        <v>10</v>
      </c>
      <c r="O13" s="21">
        <v>3692331.75</v>
      </c>
      <c r="P13" s="46">
        <f>+Antecedentes!F7</f>
        <v>9.3306484420939306E-2</v>
      </c>
      <c r="Q13" s="47">
        <f t="shared" si="3"/>
        <v>8397583.5978845377</v>
      </c>
      <c r="R13" s="56">
        <f>+Antecedentes!D7</f>
        <v>185</v>
      </c>
      <c r="S13" s="57">
        <f>+Q13/Antecedentes!G7</f>
        <v>420.75118672872219</v>
      </c>
      <c r="T13" s="47">
        <f t="shared" si="4"/>
        <v>235.75118672872219</v>
      </c>
      <c r="U13" s="76">
        <f t="shared" si="5"/>
        <v>1.2743307390741738</v>
      </c>
      <c r="V13" s="69">
        <f>+($O$5-Antecedentes!H7)/365</f>
        <v>8.3808219178082197</v>
      </c>
      <c r="W13" s="70">
        <v>8</v>
      </c>
      <c r="X13" s="70">
        <v>4</v>
      </c>
      <c r="Y13" s="71">
        <v>17</v>
      </c>
    </row>
    <row r="14" spans="1:25" x14ac:dyDescent="0.3">
      <c r="A14" s="81" t="s">
        <v>11</v>
      </c>
      <c r="B14" s="21">
        <v>15027374.25</v>
      </c>
      <c r="C14" s="46">
        <v>0.37974687982607452</v>
      </c>
      <c r="D14" s="47">
        <f t="shared" si="0"/>
        <v>28530150.638267841</v>
      </c>
      <c r="E14" s="94">
        <v>185</v>
      </c>
      <c r="F14" s="95">
        <f>+D14/Antecedentes!G8</f>
        <v>351.23087907919444</v>
      </c>
      <c r="G14" s="47">
        <f t="shared" si="1"/>
        <v>166.23087907919444</v>
      </c>
      <c r="H14" s="83">
        <f t="shared" si="2"/>
        <v>0.89854529231996993</v>
      </c>
      <c r="I14" s="69">
        <v>8.3808219178082197</v>
      </c>
      <c r="J14" s="70">
        <v>8</v>
      </c>
      <c r="K14" s="70">
        <v>4</v>
      </c>
      <c r="L14" s="71">
        <v>17</v>
      </c>
      <c r="N14" s="23" t="s">
        <v>11</v>
      </c>
      <c r="O14" s="21">
        <v>15027374.25</v>
      </c>
      <c r="P14" s="46">
        <f>+Antecedentes!F8</f>
        <v>0.37974687982607452</v>
      </c>
      <c r="Q14" s="47">
        <f t="shared" si="3"/>
        <v>34177219.184346706</v>
      </c>
      <c r="R14" s="56">
        <f>+Antecedentes!D8</f>
        <v>185</v>
      </c>
      <c r="S14" s="57">
        <f>+Q14/Antecedentes!G8</f>
        <v>420.75118672872213</v>
      </c>
      <c r="T14" s="47">
        <f t="shared" si="4"/>
        <v>235.75118672872213</v>
      </c>
      <c r="U14" s="76">
        <f t="shared" si="5"/>
        <v>1.2743307390741738</v>
      </c>
      <c r="V14" s="69">
        <f>+($O$5-Antecedentes!H8)/365</f>
        <v>8.3808219178082197</v>
      </c>
      <c r="W14" s="70">
        <v>8</v>
      </c>
      <c r="X14" s="70">
        <v>4</v>
      </c>
      <c r="Y14" s="71">
        <v>17</v>
      </c>
    </row>
    <row r="15" spans="1:25" ht="15" thickBot="1" x14ac:dyDescent="0.35">
      <c r="A15" s="82" t="s">
        <v>12</v>
      </c>
      <c r="B15" s="51">
        <v>3658067.9</v>
      </c>
      <c r="C15" s="48">
        <v>9.2440625228783449E-2</v>
      </c>
      <c r="D15" s="49">
        <f t="shared" si="0"/>
        <v>6945007.5905317981</v>
      </c>
      <c r="E15" s="96">
        <v>185</v>
      </c>
      <c r="F15" s="97">
        <f>+D15/Antecedentes!G9</f>
        <v>351.23087907919444</v>
      </c>
      <c r="G15" s="49">
        <f t="shared" si="1"/>
        <v>166.23087907919444</v>
      </c>
      <c r="H15" s="89">
        <f t="shared" si="2"/>
        <v>0.89854529231996993</v>
      </c>
      <c r="I15" s="72">
        <v>8.3808219178082197</v>
      </c>
      <c r="J15" s="73">
        <v>8</v>
      </c>
      <c r="K15" s="73">
        <v>4</v>
      </c>
      <c r="L15" s="74">
        <v>17</v>
      </c>
      <c r="N15" s="24" t="s">
        <v>12</v>
      </c>
      <c r="O15" s="51">
        <v>3658067.9</v>
      </c>
      <c r="P15" s="48">
        <f>+Antecedentes!F9</f>
        <v>9.2440625228783449E-2</v>
      </c>
      <c r="Q15" s="49">
        <f t="shared" si="3"/>
        <v>8319656.2705905102</v>
      </c>
      <c r="R15" s="58">
        <f>+Antecedentes!D9</f>
        <v>185</v>
      </c>
      <c r="S15" s="59">
        <f>+Q15/Antecedentes!G9</f>
        <v>420.75118672872213</v>
      </c>
      <c r="T15" s="49">
        <f t="shared" si="4"/>
        <v>235.75118672872213</v>
      </c>
      <c r="U15" s="77">
        <f t="shared" si="5"/>
        <v>1.2743307390741738</v>
      </c>
      <c r="V15" s="72">
        <f>+($O$5-Antecedentes!H9)/365</f>
        <v>8.3808219178082197</v>
      </c>
      <c r="W15" s="73">
        <v>8</v>
      </c>
      <c r="X15" s="73">
        <v>4</v>
      </c>
      <c r="Y15" s="74">
        <v>17</v>
      </c>
    </row>
    <row r="16" spans="1:25" ht="15" thickBot="1" x14ac:dyDescent="0.35">
      <c r="A16" s="52" t="s">
        <v>19</v>
      </c>
      <c r="B16" s="122">
        <v>39572080.899999999</v>
      </c>
      <c r="C16" s="123">
        <f>+C4</f>
        <v>75129387.900000006</v>
      </c>
      <c r="K16" s="61"/>
      <c r="N16" s="52" t="s">
        <v>19</v>
      </c>
      <c r="O16" s="107">
        <f>SUM(O9:O15)</f>
        <v>39572080.899999999</v>
      </c>
      <c r="P16" s="106">
        <f>+P4</f>
        <v>90000000</v>
      </c>
      <c r="X16" s="61"/>
    </row>
    <row r="17" spans="22:24" x14ac:dyDescent="0.3">
      <c r="V17" s="61"/>
      <c r="X17" s="61"/>
    </row>
  </sheetData>
  <mergeCells count="6">
    <mergeCell ref="A2:C2"/>
    <mergeCell ref="A1:C1"/>
    <mergeCell ref="N1:P1"/>
    <mergeCell ref="N2:P2"/>
    <mergeCell ref="N7:Y7"/>
    <mergeCell ref="A7:L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0"/>
  <sheetViews>
    <sheetView zoomScale="90" zoomScaleNormal="90" workbookViewId="0">
      <selection activeCell="B2" sqref="B2"/>
    </sheetView>
  </sheetViews>
  <sheetFormatPr baseColWidth="10" defaultColWidth="11.6640625" defaultRowHeight="14.4" x14ac:dyDescent="0.3"/>
  <cols>
    <col min="1" max="1" width="32.44140625" bestFit="1" customWidth="1"/>
    <col min="2" max="2" width="17.33203125" customWidth="1"/>
    <col min="3" max="3" width="11.6640625" customWidth="1"/>
    <col min="4" max="4" width="17.88671875" customWidth="1"/>
    <col min="5" max="5" width="17.5546875" customWidth="1"/>
    <col min="6" max="6" width="23.33203125" bestFit="1" customWidth="1"/>
    <col min="7" max="7" width="11.77734375" customWidth="1"/>
    <col min="8" max="8" width="11.109375" customWidth="1"/>
    <col min="9" max="9" width="14.5546875" customWidth="1"/>
    <col min="10" max="10" width="19.5546875" customWidth="1"/>
    <col min="11" max="11" width="16.77734375" customWidth="1"/>
    <col min="12" max="12" width="14.77734375" customWidth="1"/>
    <col min="13" max="13" width="5.44140625" bestFit="1" customWidth="1"/>
    <col min="14" max="14" width="6.88671875" bestFit="1" customWidth="1"/>
    <col min="15" max="15" width="4.77734375" bestFit="1" customWidth="1"/>
  </cols>
  <sheetData>
    <row r="1" spans="1:15" ht="18.600000000000001" thickBot="1" x14ac:dyDescent="0.4">
      <c r="A1" s="240" t="s">
        <v>35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2"/>
    </row>
    <row r="2" spans="1:15" ht="43.8" thickBot="1" x14ac:dyDescent="0.35">
      <c r="B2" s="42" t="s">
        <v>33</v>
      </c>
      <c r="C2" s="17" t="s">
        <v>13</v>
      </c>
      <c r="D2" s="204" t="s">
        <v>77</v>
      </c>
      <c r="E2" s="205" t="s">
        <v>78</v>
      </c>
      <c r="F2" s="206" t="s">
        <v>85</v>
      </c>
      <c r="G2" s="200" t="s">
        <v>28</v>
      </c>
      <c r="H2" s="60" t="s">
        <v>30</v>
      </c>
      <c r="I2" s="201" t="s">
        <v>31</v>
      </c>
      <c r="J2" s="108" t="s">
        <v>83</v>
      </c>
      <c r="K2" s="109" t="s">
        <v>84</v>
      </c>
      <c r="L2" s="43" t="s">
        <v>32</v>
      </c>
      <c r="M2" s="43" t="s">
        <v>24</v>
      </c>
      <c r="N2" s="43" t="s">
        <v>25</v>
      </c>
      <c r="O2" s="110" t="s">
        <v>26</v>
      </c>
    </row>
    <row r="3" spans="1:15" x14ac:dyDescent="0.3">
      <c r="A3" s="20" t="s">
        <v>6</v>
      </c>
      <c r="B3" s="21">
        <v>11363515.85</v>
      </c>
      <c r="C3" s="46">
        <v>0.28715992668457319</v>
      </c>
      <c r="D3" s="207">
        <v>21574149.521220863</v>
      </c>
      <c r="E3" s="47">
        <v>25844393.401611585</v>
      </c>
      <c r="F3" s="208">
        <f>+E3-D3</f>
        <v>4270243.8803907223</v>
      </c>
      <c r="G3" s="94">
        <v>184.99999999999997</v>
      </c>
      <c r="H3" s="99">
        <v>351.23087907919444</v>
      </c>
      <c r="I3" s="202">
        <v>420.75118672872208</v>
      </c>
      <c r="J3" s="99">
        <f>+I3-H3</f>
        <v>69.520307649527638</v>
      </c>
      <c r="K3" s="102">
        <f>+I3/H3-1</f>
        <v>0.1979333589113399</v>
      </c>
      <c r="L3" s="87">
        <v>8.3808219178082197</v>
      </c>
      <c r="M3" s="88">
        <v>8</v>
      </c>
      <c r="N3" s="88">
        <v>4</v>
      </c>
      <c r="O3" s="11">
        <v>17</v>
      </c>
    </row>
    <row r="4" spans="1:15" x14ac:dyDescent="0.3">
      <c r="A4" s="81" t="s">
        <v>7</v>
      </c>
      <c r="B4" s="21">
        <v>1911534.7</v>
      </c>
      <c r="C4" s="46">
        <v>4.830513474463255E-2</v>
      </c>
      <c r="D4" s="207">
        <v>3629135.2057912666</v>
      </c>
      <c r="E4" s="47">
        <v>4347462.1270169299</v>
      </c>
      <c r="F4" s="208">
        <f t="shared" ref="F4:F9" si="0">+E4-D4</f>
        <v>718326.92122566327</v>
      </c>
      <c r="G4" s="94">
        <v>184.99999999999997</v>
      </c>
      <c r="H4" s="99">
        <v>351.23087907919449</v>
      </c>
      <c r="I4" s="202">
        <v>420.75118672872219</v>
      </c>
      <c r="J4" s="99">
        <f t="shared" ref="J4:J9" si="1">+I4-H4</f>
        <v>69.520307649527695</v>
      </c>
      <c r="K4" s="102">
        <f t="shared" ref="K4:K9" si="2">+I4/H4-1</f>
        <v>0.19793335891134012</v>
      </c>
      <c r="L4" s="84">
        <v>7.8493150684931505</v>
      </c>
      <c r="M4" s="70">
        <v>7</v>
      </c>
      <c r="N4" s="70">
        <v>10</v>
      </c>
      <c r="O4" s="71">
        <v>6</v>
      </c>
    </row>
    <row r="5" spans="1:15" x14ac:dyDescent="0.3">
      <c r="A5" s="81" t="s">
        <v>8</v>
      </c>
      <c r="B5" s="21">
        <v>1915734.2</v>
      </c>
      <c r="C5" s="46">
        <v>4.8411257543951897E-2</v>
      </c>
      <c r="D5" s="207">
        <v>3637108.1467463635</v>
      </c>
      <c r="E5" s="47">
        <v>4357013.1789556704</v>
      </c>
      <c r="F5" s="208">
        <f t="shared" si="0"/>
        <v>719905.03220930696</v>
      </c>
      <c r="G5" s="94">
        <v>185</v>
      </c>
      <c r="H5" s="99">
        <v>351.23087907919444</v>
      </c>
      <c r="I5" s="202">
        <v>420.75118672872208</v>
      </c>
      <c r="J5" s="99">
        <f t="shared" si="1"/>
        <v>69.520307649527638</v>
      </c>
      <c r="K5" s="102">
        <f t="shared" si="2"/>
        <v>0.1979333589113399</v>
      </c>
      <c r="L5" s="84">
        <v>8.3808219178082197</v>
      </c>
      <c r="M5" s="70">
        <v>8</v>
      </c>
      <c r="N5" s="70">
        <v>4</v>
      </c>
      <c r="O5" s="71">
        <v>17</v>
      </c>
    </row>
    <row r="6" spans="1:15" x14ac:dyDescent="0.3">
      <c r="A6" s="81" t="s">
        <v>9</v>
      </c>
      <c r="B6" s="21">
        <v>2003522.25</v>
      </c>
      <c r="C6" s="46">
        <v>5.062969155104502E-2</v>
      </c>
      <c r="D6" s="207">
        <v>3803777.7357958141</v>
      </c>
      <c r="E6" s="47">
        <v>4556672.2395940516</v>
      </c>
      <c r="F6" s="208">
        <f t="shared" si="0"/>
        <v>752894.50379823754</v>
      </c>
      <c r="G6" s="94">
        <v>185</v>
      </c>
      <c r="H6" s="99">
        <v>351.23087907919444</v>
      </c>
      <c r="I6" s="202">
        <v>420.75118672872213</v>
      </c>
      <c r="J6" s="99">
        <f t="shared" si="1"/>
        <v>69.520307649527695</v>
      </c>
      <c r="K6" s="102">
        <f t="shared" si="2"/>
        <v>0.19793335891134012</v>
      </c>
      <c r="L6" s="84">
        <v>8.3808219178082197</v>
      </c>
      <c r="M6" s="70">
        <v>8</v>
      </c>
      <c r="N6" s="70">
        <v>4</v>
      </c>
      <c r="O6" s="71">
        <v>17</v>
      </c>
    </row>
    <row r="7" spans="1:15" x14ac:dyDescent="0.3">
      <c r="A7" s="81" t="s">
        <v>10</v>
      </c>
      <c r="B7" s="21">
        <v>3692331.75</v>
      </c>
      <c r="C7" s="46">
        <v>9.3306484420939306E-2</v>
      </c>
      <c r="D7" s="207">
        <v>7010059.0616460564</v>
      </c>
      <c r="E7" s="47">
        <v>8397583.5978845377</v>
      </c>
      <c r="F7" s="208">
        <f t="shared" si="0"/>
        <v>1387524.5362384813</v>
      </c>
      <c r="G7" s="94">
        <v>185</v>
      </c>
      <c r="H7" s="99">
        <v>351.23087907919444</v>
      </c>
      <c r="I7" s="202">
        <v>420.75118672872219</v>
      </c>
      <c r="J7" s="99">
        <f t="shared" si="1"/>
        <v>69.520307649527751</v>
      </c>
      <c r="K7" s="102">
        <f t="shared" si="2"/>
        <v>0.19793335891134034</v>
      </c>
      <c r="L7" s="84">
        <v>8.3808219178082197</v>
      </c>
      <c r="M7" s="70">
        <v>8</v>
      </c>
      <c r="N7" s="70">
        <v>4</v>
      </c>
      <c r="O7" s="71">
        <v>17</v>
      </c>
    </row>
    <row r="8" spans="1:15" x14ac:dyDescent="0.3">
      <c r="A8" s="81" t="s">
        <v>11</v>
      </c>
      <c r="B8" s="21">
        <v>15027374.25</v>
      </c>
      <c r="C8" s="46">
        <v>0.37974687982607452</v>
      </c>
      <c r="D8" s="207">
        <v>28530150.638267841</v>
      </c>
      <c r="E8" s="47">
        <v>34177219.184346706</v>
      </c>
      <c r="F8" s="208">
        <f t="shared" si="0"/>
        <v>5647068.5460788645</v>
      </c>
      <c r="G8" s="94">
        <v>185</v>
      </c>
      <c r="H8" s="99">
        <v>351.23087907919444</v>
      </c>
      <c r="I8" s="202">
        <v>420.75118672872213</v>
      </c>
      <c r="J8" s="99">
        <f t="shared" si="1"/>
        <v>69.520307649527695</v>
      </c>
      <c r="K8" s="102">
        <f t="shared" si="2"/>
        <v>0.19793335891134012</v>
      </c>
      <c r="L8" s="84">
        <v>8.3808219178082197</v>
      </c>
      <c r="M8" s="70">
        <v>8</v>
      </c>
      <c r="N8" s="70">
        <v>4</v>
      </c>
      <c r="O8" s="71">
        <v>17</v>
      </c>
    </row>
    <row r="9" spans="1:15" ht="15" thickBot="1" x14ac:dyDescent="0.35">
      <c r="A9" s="82" t="s">
        <v>12</v>
      </c>
      <c r="B9" s="25">
        <v>3658067.9</v>
      </c>
      <c r="C9" s="46">
        <v>9.2440625228783449E-2</v>
      </c>
      <c r="D9" s="207">
        <v>6945007.5905317981</v>
      </c>
      <c r="E9" s="47">
        <v>8319656.2705905102</v>
      </c>
      <c r="F9" s="208">
        <f t="shared" si="0"/>
        <v>1374648.6800587121</v>
      </c>
      <c r="G9" s="96">
        <v>185</v>
      </c>
      <c r="H9" s="101">
        <v>351.23087907919444</v>
      </c>
      <c r="I9" s="203">
        <v>420.75118672872213</v>
      </c>
      <c r="J9" s="101">
        <f t="shared" si="1"/>
        <v>69.520307649527695</v>
      </c>
      <c r="K9" s="103">
        <f t="shared" si="2"/>
        <v>0.19793335891134012</v>
      </c>
      <c r="L9" s="90">
        <v>8.3808219178082197</v>
      </c>
      <c r="M9" s="73">
        <v>8</v>
      </c>
      <c r="N9" s="73">
        <v>4</v>
      </c>
      <c r="O9" s="74">
        <v>17</v>
      </c>
    </row>
    <row r="10" spans="1:15" ht="15" thickBot="1" x14ac:dyDescent="0.35">
      <c r="A10" s="104" t="s">
        <v>19</v>
      </c>
      <c r="B10" s="107">
        <v>39572080.899999999</v>
      </c>
      <c r="C10" s="105"/>
      <c r="D10" s="209">
        <f>SUM(D3:D9)</f>
        <v>75129387.900000006</v>
      </c>
      <c r="E10" s="105">
        <f>SUM(E3:E9)</f>
        <v>90000000</v>
      </c>
      <c r="F10" s="106">
        <f>+E10-D10</f>
        <v>14870612.099999994</v>
      </c>
      <c r="N10" s="61"/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4"/>
  <sheetViews>
    <sheetView zoomScale="90" zoomScaleNormal="90" workbookViewId="0">
      <selection activeCell="B16" sqref="B16"/>
    </sheetView>
  </sheetViews>
  <sheetFormatPr baseColWidth="10" defaultColWidth="33.5546875" defaultRowHeight="14.4" x14ac:dyDescent="0.3"/>
  <cols>
    <col min="1" max="1" width="32.44140625" bestFit="1" customWidth="1"/>
    <col min="2" max="3" width="16.33203125" bestFit="1" customWidth="1"/>
    <col min="4" max="4" width="16" bestFit="1" customWidth="1"/>
    <col min="5" max="5" width="18.44140625" customWidth="1"/>
    <col min="6" max="6" width="20.21875" customWidth="1"/>
    <col min="7" max="7" width="14.5546875" customWidth="1"/>
    <col min="8" max="8" width="17.5546875" customWidth="1"/>
    <col min="9" max="9" width="21" bestFit="1" customWidth="1"/>
    <col min="10" max="10" width="16.109375" bestFit="1" customWidth="1"/>
    <col min="11" max="11" width="14.77734375" bestFit="1" customWidth="1"/>
    <col min="12" max="12" width="4.77734375" bestFit="1" customWidth="1"/>
    <col min="13" max="13" width="16.33203125" bestFit="1" customWidth="1"/>
  </cols>
  <sheetData>
    <row r="1" spans="1:13" ht="18.600000000000001" thickBot="1" x14ac:dyDescent="0.4">
      <c r="A1" s="240" t="s">
        <v>71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2"/>
    </row>
    <row r="2" spans="1:13" ht="29.4" thickBot="1" x14ac:dyDescent="0.35">
      <c r="B2" s="114" t="s">
        <v>3</v>
      </c>
      <c r="C2" s="14" t="s">
        <v>13</v>
      </c>
      <c r="D2" s="15" t="s">
        <v>21</v>
      </c>
      <c r="E2" s="115" t="s">
        <v>28</v>
      </c>
      <c r="F2" s="116" t="s">
        <v>29</v>
      </c>
      <c r="G2" s="43" t="s">
        <v>72</v>
      </c>
      <c r="H2" s="98" t="s">
        <v>34</v>
      </c>
      <c r="I2" s="117" t="s">
        <v>27</v>
      </c>
      <c r="J2" s="43" t="s">
        <v>24</v>
      </c>
      <c r="K2" s="43" t="s">
        <v>25</v>
      </c>
      <c r="L2" s="43" t="s">
        <v>26</v>
      </c>
      <c r="M2" s="118" t="s">
        <v>4</v>
      </c>
    </row>
    <row r="3" spans="1:13" x14ac:dyDescent="0.3">
      <c r="A3" s="20" t="s">
        <v>6</v>
      </c>
      <c r="B3" s="50">
        <v>11363515.85</v>
      </c>
      <c r="C3" s="44">
        <v>0.28715992668457319</v>
      </c>
      <c r="D3" s="45">
        <v>21574149.521220863</v>
      </c>
      <c r="E3" s="92">
        <v>184.99999999999997</v>
      </c>
      <c r="F3" s="93">
        <v>351.23087907919444</v>
      </c>
      <c r="G3" s="45">
        <v>166.23087907919447</v>
      </c>
      <c r="H3" s="86">
        <v>0.89854529231997016</v>
      </c>
      <c r="I3" s="91">
        <v>8.3808219178082197</v>
      </c>
      <c r="J3" s="88">
        <v>8</v>
      </c>
      <c r="K3" s="88">
        <v>4</v>
      </c>
      <c r="L3" s="10">
        <v>17</v>
      </c>
      <c r="M3" s="119">
        <v>40393817.93</v>
      </c>
    </row>
    <row r="4" spans="1:13" x14ac:dyDescent="0.3">
      <c r="A4" s="81" t="s">
        <v>7</v>
      </c>
      <c r="B4" s="21">
        <v>1911534.7</v>
      </c>
      <c r="C4" s="46">
        <v>4.830513474463255E-2</v>
      </c>
      <c r="D4" s="47">
        <v>3629135.2057912666</v>
      </c>
      <c r="E4" s="94">
        <v>184.99999999999997</v>
      </c>
      <c r="F4" s="95">
        <v>351.23087907919449</v>
      </c>
      <c r="G4" s="47">
        <v>166.23087907919452</v>
      </c>
      <c r="H4" s="83">
        <v>0.8985452923199706</v>
      </c>
      <c r="I4" s="69">
        <v>7.8493150684931505</v>
      </c>
      <c r="J4" s="70">
        <v>7</v>
      </c>
      <c r="K4" s="70">
        <v>10</v>
      </c>
      <c r="L4" s="85">
        <v>6</v>
      </c>
      <c r="M4" s="119">
        <v>9196031.8000000007</v>
      </c>
    </row>
    <row r="5" spans="1:13" x14ac:dyDescent="0.3">
      <c r="A5" s="81" t="s">
        <v>8</v>
      </c>
      <c r="B5" s="21">
        <v>1915734.2</v>
      </c>
      <c r="C5" s="46">
        <v>4.8411257543951897E-2</v>
      </c>
      <c r="D5" s="47">
        <v>3637108.1467463635</v>
      </c>
      <c r="E5" s="94">
        <v>185</v>
      </c>
      <c r="F5" s="95">
        <v>351.23087907919444</v>
      </c>
      <c r="G5" s="47">
        <v>166.23087907919444</v>
      </c>
      <c r="H5" s="83">
        <v>0.89854529231996993</v>
      </c>
      <c r="I5" s="69">
        <v>8.3808219178082197</v>
      </c>
      <c r="J5" s="70">
        <v>8</v>
      </c>
      <c r="K5" s="70">
        <v>4</v>
      </c>
      <c r="L5" s="85">
        <v>17</v>
      </c>
      <c r="M5" s="119">
        <v>1926143.91</v>
      </c>
    </row>
    <row r="6" spans="1:13" x14ac:dyDescent="0.3">
      <c r="A6" s="81" t="s">
        <v>9</v>
      </c>
      <c r="B6" s="21">
        <v>2003522.25</v>
      </c>
      <c r="C6" s="46">
        <v>5.062969155104502E-2</v>
      </c>
      <c r="D6" s="47">
        <v>3803777.7357958141</v>
      </c>
      <c r="E6" s="94">
        <v>185</v>
      </c>
      <c r="F6" s="95">
        <v>351.23087907919444</v>
      </c>
      <c r="G6" s="47">
        <v>166.23087907919444</v>
      </c>
      <c r="H6" s="83">
        <v>0.89854529231996993</v>
      </c>
      <c r="I6" s="69">
        <v>8.3808219178082197</v>
      </c>
      <c r="J6" s="70">
        <v>8</v>
      </c>
      <c r="K6" s="70">
        <v>4</v>
      </c>
      <c r="L6" s="85">
        <v>17</v>
      </c>
      <c r="M6" s="119">
        <v>1926143.91</v>
      </c>
    </row>
    <row r="7" spans="1:13" x14ac:dyDescent="0.3">
      <c r="A7" s="81" t="s">
        <v>10</v>
      </c>
      <c r="B7" s="21">
        <v>3692331.75</v>
      </c>
      <c r="C7" s="46">
        <v>9.3306484420939306E-2</v>
      </c>
      <c r="D7" s="47">
        <v>7010059.0616460564</v>
      </c>
      <c r="E7" s="94">
        <v>185</v>
      </c>
      <c r="F7" s="95">
        <v>351.23087907919444</v>
      </c>
      <c r="G7" s="47">
        <v>166.23087907919444</v>
      </c>
      <c r="H7" s="83">
        <v>0.89854529231996993</v>
      </c>
      <c r="I7" s="69">
        <v>8.3808219178082197</v>
      </c>
      <c r="J7" s="70">
        <v>8</v>
      </c>
      <c r="K7" s="70">
        <v>4</v>
      </c>
      <c r="L7" s="85">
        <v>17</v>
      </c>
      <c r="M7" s="119">
        <v>17762620</v>
      </c>
    </row>
    <row r="8" spans="1:13" x14ac:dyDescent="0.3">
      <c r="A8" s="81" t="s">
        <v>11</v>
      </c>
      <c r="B8" s="21">
        <v>15027374.25</v>
      </c>
      <c r="C8" s="46">
        <v>0.37974687982607452</v>
      </c>
      <c r="D8" s="47">
        <v>28530150.638267841</v>
      </c>
      <c r="E8" s="94">
        <v>185</v>
      </c>
      <c r="F8" s="95">
        <v>351.23087907919444</v>
      </c>
      <c r="G8" s="47">
        <v>166.23087907919444</v>
      </c>
      <c r="H8" s="83">
        <v>0.89854529231996993</v>
      </c>
      <c r="I8" s="69">
        <v>8.3808219178082197</v>
      </c>
      <c r="J8" s="70">
        <v>8</v>
      </c>
      <c r="K8" s="70">
        <v>4</v>
      </c>
      <c r="L8" s="85">
        <v>17</v>
      </c>
      <c r="M8" s="119">
        <v>14102491.609999999</v>
      </c>
    </row>
    <row r="9" spans="1:13" ht="15" thickBot="1" x14ac:dyDescent="0.35">
      <c r="A9" s="82" t="s">
        <v>12</v>
      </c>
      <c r="B9" s="51">
        <v>3658067.9</v>
      </c>
      <c r="C9" s="48">
        <v>9.2440625228783449E-2</v>
      </c>
      <c r="D9" s="49">
        <v>6945007.5905317981</v>
      </c>
      <c r="E9" s="96">
        <v>185</v>
      </c>
      <c r="F9" s="97">
        <v>351.23087907919444</v>
      </c>
      <c r="G9" s="49">
        <v>166.23087907919444</v>
      </c>
      <c r="H9" s="89">
        <v>0.89854529231996993</v>
      </c>
      <c r="I9" s="72">
        <v>8.3808219178082197</v>
      </c>
      <c r="J9" s="73">
        <v>8</v>
      </c>
      <c r="K9" s="73">
        <v>4</v>
      </c>
      <c r="L9" s="121">
        <v>17</v>
      </c>
      <c r="M9" s="120">
        <v>3677995.5</v>
      </c>
    </row>
    <row r="10" spans="1:13" ht="15" thickBot="1" x14ac:dyDescent="0.35">
      <c r="A10" s="52" t="s">
        <v>19</v>
      </c>
      <c r="B10" s="122">
        <v>39572080.899999999</v>
      </c>
      <c r="C10" s="123">
        <f>+D28</f>
        <v>91800000</v>
      </c>
      <c r="K10" s="61"/>
      <c r="M10" s="124">
        <f>SUM(M3:M9)</f>
        <v>88985244.659999996</v>
      </c>
    </row>
    <row r="11" spans="1:13" ht="15" thickBot="1" x14ac:dyDescent="0.35"/>
    <row r="12" spans="1:13" ht="15" thickBot="1" x14ac:dyDescent="0.35">
      <c r="B12" s="137">
        <v>2013</v>
      </c>
      <c r="C12" s="138">
        <v>2014</v>
      </c>
      <c r="D12" s="138">
        <v>2015</v>
      </c>
      <c r="E12" s="138">
        <v>2016</v>
      </c>
      <c r="F12" s="138">
        <v>2017</v>
      </c>
      <c r="G12" s="138">
        <v>2018</v>
      </c>
      <c r="H12" s="138">
        <v>2019</v>
      </c>
      <c r="I12" s="138">
        <v>2020</v>
      </c>
      <c r="J12" s="139">
        <v>2021</v>
      </c>
    </row>
    <row r="13" spans="1:13" ht="15" thickBot="1" x14ac:dyDescent="0.35">
      <c r="A13" s="140" t="s">
        <v>40</v>
      </c>
      <c r="B13" s="216">
        <f>+B28*-1</f>
        <v>-39572080.899999999</v>
      </c>
      <c r="C13" s="145">
        <v>0</v>
      </c>
      <c r="D13" s="145">
        <v>0</v>
      </c>
      <c r="E13" s="145">
        <v>0</v>
      </c>
      <c r="F13" s="145">
        <v>0</v>
      </c>
      <c r="G13" s="145">
        <v>0</v>
      </c>
      <c r="H13" s="145">
        <v>0</v>
      </c>
      <c r="I13" s="145">
        <v>0</v>
      </c>
      <c r="J13" s="136">
        <f>+D28</f>
        <v>91800000</v>
      </c>
    </row>
    <row r="14" spans="1:13" ht="15.6" x14ac:dyDescent="0.3">
      <c r="A14" s="141" t="s">
        <v>36</v>
      </c>
      <c r="B14" s="142">
        <f>IRR(B13:J13)</f>
        <v>0.11091728503699838</v>
      </c>
      <c r="C14" s="47"/>
      <c r="D14" s="85"/>
      <c r="E14" s="85"/>
      <c r="F14" s="85"/>
      <c r="G14" s="85"/>
      <c r="H14" s="85"/>
      <c r="I14" s="85"/>
      <c r="J14" s="85"/>
    </row>
    <row r="15" spans="1:13" ht="16.2" thickBot="1" x14ac:dyDescent="0.35">
      <c r="A15" s="143" t="s">
        <v>37</v>
      </c>
      <c r="B15" s="144">
        <f>+NPV(8.6%,B13:J13)</f>
        <v>7250836.0520496368</v>
      </c>
    </row>
    <row r="16" spans="1:13" s="212" customFormat="1" ht="15.6" x14ac:dyDescent="0.3">
      <c r="A16" s="195" t="s">
        <v>70</v>
      </c>
      <c r="B16"/>
      <c r="C16"/>
    </row>
    <row r="17" spans="1:6" s="212" customFormat="1" ht="15.6" x14ac:dyDescent="0.3">
      <c r="A17" s="210"/>
      <c r="B17" s="211"/>
    </row>
    <row r="18" spans="1:6" ht="15" thickBot="1" x14ac:dyDescent="0.35"/>
    <row r="19" spans="1:6" ht="16.2" thickBot="1" x14ac:dyDescent="0.35">
      <c r="A19" s="249" t="s">
        <v>41</v>
      </c>
      <c r="B19" s="250"/>
      <c r="C19" s="250"/>
      <c r="D19" s="250"/>
      <c r="E19" s="250"/>
      <c r="F19" s="251"/>
    </row>
    <row r="20" spans="1:6" ht="43.8" thickBot="1" x14ac:dyDescent="0.35">
      <c r="B20" s="16" t="s">
        <v>3</v>
      </c>
      <c r="C20" s="158" t="s">
        <v>4</v>
      </c>
      <c r="D20" s="18" t="s">
        <v>21</v>
      </c>
      <c r="E20" s="149" t="s">
        <v>73</v>
      </c>
      <c r="F20" s="19" t="s">
        <v>74</v>
      </c>
    </row>
    <row r="21" spans="1:6" x14ac:dyDescent="0.3">
      <c r="A21" s="20" t="s">
        <v>6</v>
      </c>
      <c r="B21" s="21">
        <v>11363515.85</v>
      </c>
      <c r="C21" s="159">
        <v>40393817.93</v>
      </c>
      <c r="D21" s="47">
        <v>21574149.521220863</v>
      </c>
      <c r="E21" s="146">
        <f>+D21/C21-1</f>
        <v>-0.46590466990251989</v>
      </c>
      <c r="F21" s="125">
        <f>+D21/B21-1</f>
        <v>0.89854529231997016</v>
      </c>
    </row>
    <row r="22" spans="1:6" x14ac:dyDescent="0.3">
      <c r="A22" s="81" t="s">
        <v>7</v>
      </c>
      <c r="B22" s="21">
        <v>1911534.7</v>
      </c>
      <c r="C22" s="159">
        <v>9196031.8000000007</v>
      </c>
      <c r="D22" s="47">
        <v>3629135.2057912666</v>
      </c>
      <c r="E22" s="146">
        <f t="shared" ref="E22:E27" si="0">+D22/C22-1</f>
        <v>-0.60535856283236578</v>
      </c>
      <c r="F22" s="126">
        <f t="shared" ref="F22:F28" si="1">+D22/B22-1</f>
        <v>0.89854529231997038</v>
      </c>
    </row>
    <row r="23" spans="1:6" x14ac:dyDescent="0.3">
      <c r="A23" s="81" t="s">
        <v>8</v>
      </c>
      <c r="B23" s="21">
        <v>1915734.2</v>
      </c>
      <c r="C23" s="159">
        <v>1926143.91</v>
      </c>
      <c r="D23" s="47">
        <v>3637108.1467463635</v>
      </c>
      <c r="E23" s="147">
        <f t="shared" si="0"/>
        <v>0.88828473711829958</v>
      </c>
      <c r="F23" s="126">
        <f t="shared" si="1"/>
        <v>0.89854529231996993</v>
      </c>
    </row>
    <row r="24" spans="1:6" x14ac:dyDescent="0.3">
      <c r="A24" s="81" t="s">
        <v>9</v>
      </c>
      <c r="B24" s="21">
        <v>2003522.25</v>
      </c>
      <c r="C24" s="159">
        <v>1926143.91</v>
      </c>
      <c r="D24" s="47">
        <v>3803777.7357958141</v>
      </c>
      <c r="E24" s="147">
        <f t="shared" si="0"/>
        <v>0.97481492221202415</v>
      </c>
      <c r="F24" s="126">
        <f t="shared" si="1"/>
        <v>0.89854529231996993</v>
      </c>
    </row>
    <row r="25" spans="1:6" x14ac:dyDescent="0.3">
      <c r="A25" s="81" t="s">
        <v>10</v>
      </c>
      <c r="B25" s="21">
        <v>3692331.75</v>
      </c>
      <c r="C25" s="159">
        <v>17762620</v>
      </c>
      <c r="D25" s="47">
        <v>7010059.0616460564</v>
      </c>
      <c r="E25" s="146">
        <f t="shared" si="0"/>
        <v>-0.60534768735433975</v>
      </c>
      <c r="F25" s="126">
        <f t="shared" si="1"/>
        <v>0.89854529231996993</v>
      </c>
    </row>
    <row r="26" spans="1:6" x14ac:dyDescent="0.3">
      <c r="A26" s="81" t="s">
        <v>11</v>
      </c>
      <c r="B26" s="21">
        <v>15027374.25</v>
      </c>
      <c r="C26" s="159">
        <v>14102491.609999999</v>
      </c>
      <c r="D26" s="47">
        <v>28530150.638267841</v>
      </c>
      <c r="E26" s="147">
        <f t="shared" si="0"/>
        <v>1.0230574445466973</v>
      </c>
      <c r="F26" s="126">
        <f t="shared" si="1"/>
        <v>0.89854529231997016</v>
      </c>
    </row>
    <row r="27" spans="1:6" ht="15" thickBot="1" x14ac:dyDescent="0.35">
      <c r="A27" s="82" t="s">
        <v>12</v>
      </c>
      <c r="B27" s="51">
        <v>3658067.9</v>
      </c>
      <c r="C27" s="160">
        <v>3677995.5</v>
      </c>
      <c r="D27" s="49">
        <v>6945007.5905317981</v>
      </c>
      <c r="E27" s="148">
        <f t="shared" si="0"/>
        <v>0.8882588601676642</v>
      </c>
      <c r="F27" s="127">
        <f t="shared" si="1"/>
        <v>0.89854529231996993</v>
      </c>
    </row>
    <row r="28" spans="1:6" ht="15" thickBot="1" x14ac:dyDescent="0.35">
      <c r="A28" s="104" t="s">
        <v>19</v>
      </c>
      <c r="B28" s="122">
        <v>39572080.899999999</v>
      </c>
      <c r="C28" s="161">
        <f>SUM(C21:C27)</f>
        <v>88985244.659999996</v>
      </c>
      <c r="D28" s="49">
        <v>91800000</v>
      </c>
      <c r="E28" s="156">
        <f>+D28/C28-1</f>
        <v>3.1631708726034047E-2</v>
      </c>
      <c r="F28" s="157">
        <f t="shared" si="1"/>
        <v>1.3198173538556572</v>
      </c>
    </row>
    <row r="33" spans="11:11" s="12" customFormat="1" x14ac:dyDescent="0.3"/>
    <row r="34" spans="11:11" x14ac:dyDescent="0.3">
      <c r="K34" s="85"/>
    </row>
  </sheetData>
  <mergeCells count="2">
    <mergeCell ref="A1:L1"/>
    <mergeCell ref="A19:F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6"/>
  <sheetViews>
    <sheetView zoomScale="85" zoomScaleNormal="85" workbookViewId="0">
      <selection activeCell="J13" sqref="J13"/>
    </sheetView>
  </sheetViews>
  <sheetFormatPr baseColWidth="10" defaultColWidth="29.21875" defaultRowHeight="14.4" x14ac:dyDescent="0.3"/>
  <cols>
    <col min="1" max="1" width="33.21875" customWidth="1"/>
    <col min="2" max="2" width="19.33203125" bestFit="1" customWidth="1"/>
    <col min="3" max="3" width="17.21875" bestFit="1" customWidth="1"/>
    <col min="4" max="4" width="15.21875" bestFit="1" customWidth="1"/>
    <col min="5" max="5" width="17.109375" bestFit="1" customWidth="1"/>
    <col min="6" max="6" width="20.109375" bestFit="1" customWidth="1"/>
    <col min="7" max="7" width="16.44140625" bestFit="1" customWidth="1"/>
    <col min="8" max="8" width="15.88671875" bestFit="1" customWidth="1"/>
    <col min="9" max="9" width="21" bestFit="1" customWidth="1"/>
    <col min="10" max="12" width="16.109375" bestFit="1" customWidth="1"/>
  </cols>
  <sheetData>
    <row r="1" spans="1:12" ht="18.600000000000001" thickBot="1" x14ac:dyDescent="0.4">
      <c r="A1" s="240" t="s">
        <v>75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2"/>
    </row>
    <row r="2" spans="1:12" ht="29.4" thickBot="1" x14ac:dyDescent="0.35">
      <c r="B2" s="16" t="s">
        <v>3</v>
      </c>
      <c r="C2" s="17" t="s">
        <v>13</v>
      </c>
      <c r="D2" s="18" t="s">
        <v>21</v>
      </c>
      <c r="E2" s="108" t="s">
        <v>28</v>
      </c>
      <c r="F2" s="108" t="s">
        <v>29</v>
      </c>
      <c r="G2" s="111" t="s">
        <v>76</v>
      </c>
      <c r="H2" s="109" t="s">
        <v>34</v>
      </c>
      <c r="I2" s="112" t="s">
        <v>27</v>
      </c>
      <c r="J2" s="111" t="s">
        <v>24</v>
      </c>
      <c r="K2" s="111" t="s">
        <v>25</v>
      </c>
      <c r="L2" s="113" t="s">
        <v>26</v>
      </c>
    </row>
    <row r="3" spans="1:12" x14ac:dyDescent="0.3">
      <c r="A3" s="22" t="s">
        <v>6</v>
      </c>
      <c r="B3" s="50">
        <v>11363515.85</v>
      </c>
      <c r="C3" s="44">
        <v>0.28715992668457319</v>
      </c>
      <c r="D3" s="45">
        <v>25844393.401611585</v>
      </c>
      <c r="E3" s="54">
        <v>184.99999999999997</v>
      </c>
      <c r="F3" s="55">
        <v>420.75118672872208</v>
      </c>
      <c r="G3" s="45">
        <v>235.7511867287221</v>
      </c>
      <c r="H3" s="75">
        <v>1.2743307390741738</v>
      </c>
      <c r="I3" s="69">
        <v>8.3808219178082197</v>
      </c>
      <c r="J3" s="70">
        <v>8</v>
      </c>
      <c r="K3" s="70">
        <v>4</v>
      </c>
      <c r="L3" s="71">
        <v>17</v>
      </c>
    </row>
    <row r="4" spans="1:12" x14ac:dyDescent="0.3">
      <c r="A4" s="23" t="s">
        <v>7</v>
      </c>
      <c r="B4" s="21">
        <v>1911534.7</v>
      </c>
      <c r="C4" s="46">
        <v>4.830513474463255E-2</v>
      </c>
      <c r="D4" s="47">
        <v>4347462.1270169299</v>
      </c>
      <c r="E4" s="56">
        <v>184.99999999999997</v>
      </c>
      <c r="F4" s="57">
        <v>420.75118672872219</v>
      </c>
      <c r="G4" s="47">
        <v>235.75118672872222</v>
      </c>
      <c r="H4" s="76">
        <v>1.2743307390741743</v>
      </c>
      <c r="I4" s="69">
        <v>7.8493150684931505</v>
      </c>
      <c r="J4" s="70">
        <v>7</v>
      </c>
      <c r="K4" s="70">
        <v>10</v>
      </c>
      <c r="L4" s="71">
        <v>6</v>
      </c>
    </row>
    <row r="5" spans="1:12" x14ac:dyDescent="0.3">
      <c r="A5" s="23" t="s">
        <v>8</v>
      </c>
      <c r="B5" s="21">
        <v>1915734.2</v>
      </c>
      <c r="C5" s="46">
        <v>4.8411257543951897E-2</v>
      </c>
      <c r="D5" s="47">
        <v>4357013.1789556704</v>
      </c>
      <c r="E5" s="56">
        <v>185</v>
      </c>
      <c r="F5" s="57">
        <v>420.75118672872208</v>
      </c>
      <c r="G5" s="47">
        <v>235.75118672872208</v>
      </c>
      <c r="H5" s="76">
        <v>1.2743307390741734</v>
      </c>
      <c r="I5" s="69">
        <v>8.3808219178082197</v>
      </c>
      <c r="J5" s="70">
        <v>8</v>
      </c>
      <c r="K5" s="70">
        <v>4</v>
      </c>
      <c r="L5" s="71">
        <v>17</v>
      </c>
    </row>
    <row r="6" spans="1:12" x14ac:dyDescent="0.3">
      <c r="A6" s="23" t="s">
        <v>9</v>
      </c>
      <c r="B6" s="21">
        <v>2003522.25</v>
      </c>
      <c r="C6" s="46">
        <v>5.062969155104502E-2</v>
      </c>
      <c r="D6" s="47">
        <v>4556672.2395940516</v>
      </c>
      <c r="E6" s="56">
        <v>185</v>
      </c>
      <c r="F6" s="57">
        <v>420.75118672872213</v>
      </c>
      <c r="G6" s="47">
        <v>235.75118672872213</v>
      </c>
      <c r="H6" s="76">
        <v>1.2743307390741738</v>
      </c>
      <c r="I6" s="69">
        <v>8.3808219178082197</v>
      </c>
      <c r="J6" s="70">
        <v>8</v>
      </c>
      <c r="K6" s="70">
        <v>4</v>
      </c>
      <c r="L6" s="71">
        <v>17</v>
      </c>
    </row>
    <row r="7" spans="1:12" x14ac:dyDescent="0.3">
      <c r="A7" s="23" t="s">
        <v>10</v>
      </c>
      <c r="B7" s="21">
        <v>3692331.75</v>
      </c>
      <c r="C7" s="46">
        <v>9.3306484420939306E-2</v>
      </c>
      <c r="D7" s="47">
        <v>8397583.5978845377</v>
      </c>
      <c r="E7" s="56">
        <v>185</v>
      </c>
      <c r="F7" s="57">
        <v>420.75118672872219</v>
      </c>
      <c r="G7" s="47">
        <v>235.75118672872219</v>
      </c>
      <c r="H7" s="76">
        <v>1.2743307390741738</v>
      </c>
      <c r="I7" s="69">
        <v>8.3808219178082197</v>
      </c>
      <c r="J7" s="70">
        <v>8</v>
      </c>
      <c r="K7" s="70">
        <v>4</v>
      </c>
      <c r="L7" s="71">
        <v>17</v>
      </c>
    </row>
    <row r="8" spans="1:12" x14ac:dyDescent="0.3">
      <c r="A8" s="23" t="s">
        <v>11</v>
      </c>
      <c r="B8" s="21">
        <v>15027374.25</v>
      </c>
      <c r="C8" s="46">
        <v>0.37974687982607452</v>
      </c>
      <c r="D8" s="47">
        <v>34177219.184346706</v>
      </c>
      <c r="E8" s="56">
        <v>185</v>
      </c>
      <c r="F8" s="57">
        <v>420.75118672872213</v>
      </c>
      <c r="G8" s="47">
        <v>235.75118672872213</v>
      </c>
      <c r="H8" s="76">
        <v>1.2743307390741738</v>
      </c>
      <c r="I8" s="69">
        <v>8.3808219178082197</v>
      </c>
      <c r="J8" s="70">
        <v>8</v>
      </c>
      <c r="K8" s="70">
        <v>4</v>
      </c>
      <c r="L8" s="71">
        <v>17</v>
      </c>
    </row>
    <row r="9" spans="1:12" ht="15" thickBot="1" x14ac:dyDescent="0.35">
      <c r="A9" s="24" t="s">
        <v>12</v>
      </c>
      <c r="B9" s="51">
        <v>3658067.9</v>
      </c>
      <c r="C9" s="48">
        <v>9.2440625228783449E-2</v>
      </c>
      <c r="D9" s="49">
        <v>8319656.2705905102</v>
      </c>
      <c r="E9" s="58">
        <v>185</v>
      </c>
      <c r="F9" s="59">
        <v>420.75118672872213</v>
      </c>
      <c r="G9" s="49">
        <v>235.75118672872213</v>
      </c>
      <c r="H9" s="77">
        <v>1.2743307390741738</v>
      </c>
      <c r="I9" s="72">
        <v>8.3808219178082197</v>
      </c>
      <c r="J9" s="73">
        <v>8</v>
      </c>
      <c r="K9" s="73">
        <v>4</v>
      </c>
      <c r="L9" s="74">
        <v>17</v>
      </c>
    </row>
    <row r="10" spans="1:12" ht="16.2" thickBot="1" x14ac:dyDescent="0.35">
      <c r="A10" s="52" t="s">
        <v>19</v>
      </c>
      <c r="B10" s="26">
        <v>39572080.899999999</v>
      </c>
      <c r="C10" s="53">
        <v>90000000</v>
      </c>
      <c r="K10" s="61"/>
    </row>
    <row r="11" spans="1:12" ht="15" thickBot="1" x14ac:dyDescent="0.35"/>
    <row r="12" spans="1:12" ht="15" thickBot="1" x14ac:dyDescent="0.35">
      <c r="B12" s="137">
        <v>2013</v>
      </c>
      <c r="C12" s="138">
        <v>2014</v>
      </c>
      <c r="D12" s="138">
        <v>2015</v>
      </c>
      <c r="E12" s="138">
        <v>2016</v>
      </c>
      <c r="F12" s="138">
        <v>2017</v>
      </c>
      <c r="G12" s="138">
        <v>2018</v>
      </c>
      <c r="H12" s="138">
        <v>2019</v>
      </c>
      <c r="I12" s="138">
        <v>2020</v>
      </c>
      <c r="J12" s="138">
        <v>2021</v>
      </c>
      <c r="K12" s="154">
        <v>2022</v>
      </c>
      <c r="L12" s="155">
        <v>2023</v>
      </c>
    </row>
    <row r="13" spans="1:12" ht="15" thickBot="1" x14ac:dyDescent="0.35">
      <c r="A13" s="150" t="s">
        <v>40</v>
      </c>
      <c r="B13" s="135">
        <f>+B10*-1</f>
        <v>-39572080.899999999</v>
      </c>
      <c r="C13" s="145">
        <v>0</v>
      </c>
      <c r="D13" s="145">
        <v>0</v>
      </c>
      <c r="E13" s="145">
        <v>0</v>
      </c>
      <c r="F13" s="145">
        <v>0</v>
      </c>
      <c r="G13" s="145">
        <v>0</v>
      </c>
      <c r="H13" s="145">
        <v>0</v>
      </c>
      <c r="I13" s="145">
        <v>0</v>
      </c>
      <c r="J13" s="151">
        <f>50000000-3700000+SUM(E37:E40)</f>
        <v>53054974.444444448</v>
      </c>
      <c r="K13" s="152">
        <f>+SUM(E41:E52)</f>
        <v>21112678</v>
      </c>
      <c r="L13" s="153">
        <f>+SUM(E53:E60)</f>
        <v>14781580.88888889</v>
      </c>
    </row>
    <row r="14" spans="1:12" ht="21" x14ac:dyDescent="0.4">
      <c r="A14" s="196" t="s">
        <v>36</v>
      </c>
      <c r="B14" s="197">
        <f>IRR(B13:L13)</f>
        <v>9.9448119911906607E-2</v>
      </c>
      <c r="C14" s="47"/>
      <c r="D14" s="85"/>
      <c r="E14" s="85"/>
      <c r="F14" s="85"/>
      <c r="G14" s="85"/>
      <c r="H14" s="85"/>
      <c r="I14" s="85"/>
      <c r="J14" s="85"/>
    </row>
    <row r="15" spans="1:12" ht="21.6" thickBot="1" x14ac:dyDescent="0.45">
      <c r="A15" s="198" t="s">
        <v>37</v>
      </c>
      <c r="B15" s="199">
        <f>+NPV(8.6%,B13:L13)</f>
        <v>4028363.6437340211</v>
      </c>
    </row>
    <row r="16" spans="1:12" ht="15.6" x14ac:dyDescent="0.3">
      <c r="A16" s="195" t="s">
        <v>64</v>
      </c>
    </row>
    <row r="17" spans="1:6" ht="15.6" x14ac:dyDescent="0.3">
      <c r="A17" s="195" t="s">
        <v>87</v>
      </c>
    </row>
    <row r="18" spans="1:6" ht="15.6" x14ac:dyDescent="0.3">
      <c r="A18" s="195" t="s">
        <v>95</v>
      </c>
    </row>
    <row r="19" spans="1:6" ht="15.6" x14ac:dyDescent="0.3">
      <c r="A19" s="235" t="s">
        <v>93</v>
      </c>
    </row>
    <row r="20" spans="1:6" ht="15.6" x14ac:dyDescent="0.3">
      <c r="A20" s="235" t="s">
        <v>94</v>
      </c>
    </row>
    <row r="21" spans="1:6" ht="15" thickBot="1" x14ac:dyDescent="0.35"/>
    <row r="22" spans="1:6" ht="18.600000000000001" thickBot="1" x14ac:dyDescent="0.4">
      <c r="A22" s="240" t="s">
        <v>69</v>
      </c>
      <c r="B22" s="241"/>
      <c r="C22" s="241"/>
      <c r="D22" s="241"/>
      <c r="E22" s="241"/>
      <c r="F22" s="242"/>
    </row>
    <row r="23" spans="1:6" ht="43.8" thickBot="1" x14ac:dyDescent="0.35">
      <c r="B23" s="16" t="s">
        <v>3</v>
      </c>
      <c r="C23" s="158" t="s">
        <v>4</v>
      </c>
      <c r="D23" s="18" t="s">
        <v>21</v>
      </c>
      <c r="E23" s="149" t="s">
        <v>73</v>
      </c>
      <c r="F23" s="19" t="s">
        <v>74</v>
      </c>
    </row>
    <row r="24" spans="1:6" x14ac:dyDescent="0.3">
      <c r="A24" s="20" t="s">
        <v>6</v>
      </c>
      <c r="B24" s="21">
        <v>11363515.85</v>
      </c>
      <c r="C24" s="159">
        <v>40393817.93</v>
      </c>
      <c r="D24" s="45">
        <v>25844393.401611585</v>
      </c>
      <c r="E24" s="146">
        <f>+D24/C24-1</f>
        <v>-0.36018938723746474</v>
      </c>
      <c r="F24" s="125">
        <v>0.89854529231997016</v>
      </c>
    </row>
    <row r="25" spans="1:6" x14ac:dyDescent="0.3">
      <c r="A25" s="81" t="s">
        <v>7</v>
      </c>
      <c r="B25" s="21">
        <v>1911534.7</v>
      </c>
      <c r="C25" s="159">
        <v>9196031.8000000007</v>
      </c>
      <c r="D25" s="47">
        <v>4347462.1270169299</v>
      </c>
      <c r="E25" s="146">
        <f t="shared" ref="E25:E31" si="0">+D25/C25-1</f>
        <v>-0.52724585760817733</v>
      </c>
      <c r="F25" s="126">
        <v>0.89854529231997038</v>
      </c>
    </row>
    <row r="26" spans="1:6" x14ac:dyDescent="0.3">
      <c r="A26" s="81" t="s">
        <v>8</v>
      </c>
      <c r="B26" s="21">
        <v>1915734.2</v>
      </c>
      <c r="C26" s="159">
        <v>1926143.91</v>
      </c>
      <c r="D26" s="47">
        <v>4357013.1789556704</v>
      </c>
      <c r="E26" s="162">
        <f t="shared" si="0"/>
        <v>1.2620392777171414</v>
      </c>
      <c r="F26" s="126">
        <v>0.89854529231996993</v>
      </c>
    </row>
    <row r="27" spans="1:6" x14ac:dyDescent="0.3">
      <c r="A27" s="81" t="s">
        <v>9</v>
      </c>
      <c r="B27" s="21">
        <v>2003522.25</v>
      </c>
      <c r="C27" s="159">
        <v>1926143.91</v>
      </c>
      <c r="D27" s="47">
        <v>4556672.2395940516</v>
      </c>
      <c r="E27" s="162">
        <f t="shared" si="0"/>
        <v>1.3656966729936872</v>
      </c>
      <c r="F27" s="126">
        <v>0.89854529231996993</v>
      </c>
    </row>
    <row r="28" spans="1:6" x14ac:dyDescent="0.3">
      <c r="A28" s="81" t="s">
        <v>10</v>
      </c>
      <c r="B28" s="21">
        <v>3692331.75</v>
      </c>
      <c r="C28" s="159">
        <v>17762620</v>
      </c>
      <c r="D28" s="47">
        <v>8397583.5978845377</v>
      </c>
      <c r="E28" s="146">
        <f t="shared" si="0"/>
        <v>-0.52723282951025596</v>
      </c>
      <c r="F28" s="126">
        <v>0.89854529231996993</v>
      </c>
    </row>
    <row r="29" spans="1:6" x14ac:dyDescent="0.3">
      <c r="A29" s="81" t="s">
        <v>11</v>
      </c>
      <c r="B29" s="21">
        <v>15027374.25</v>
      </c>
      <c r="C29" s="159">
        <v>14102491.609999999</v>
      </c>
      <c r="D29" s="47">
        <v>34177219.184346706</v>
      </c>
      <c r="E29" s="162">
        <f t="shared" si="0"/>
        <v>1.4234879998164174</v>
      </c>
      <c r="F29" s="126">
        <v>0.89854529231997016</v>
      </c>
    </row>
    <row r="30" spans="1:6" ht="15" thickBot="1" x14ac:dyDescent="0.35">
      <c r="A30" s="82" t="s">
        <v>12</v>
      </c>
      <c r="B30" s="25">
        <v>3658067.9</v>
      </c>
      <c r="C30" s="159">
        <v>3677995.5</v>
      </c>
      <c r="D30" s="47">
        <v>8319656.2705905102</v>
      </c>
      <c r="E30" s="162">
        <f t="shared" si="0"/>
        <v>1.2620082788547484</v>
      </c>
      <c r="F30" s="126">
        <v>0.89854529231996993</v>
      </c>
    </row>
    <row r="31" spans="1:6" ht="15" thickBot="1" x14ac:dyDescent="0.35">
      <c r="A31" s="104" t="s">
        <v>19</v>
      </c>
      <c r="B31" s="107">
        <v>39572080.899999999</v>
      </c>
      <c r="C31" s="163">
        <v>88985244.659999996</v>
      </c>
      <c r="D31" s="105">
        <f>SUM(D24:D30)</f>
        <v>90000000</v>
      </c>
      <c r="E31" s="164">
        <f t="shared" si="0"/>
        <v>1.1403636005915763E-2</v>
      </c>
      <c r="F31" s="157">
        <v>0.89854529231997016</v>
      </c>
    </row>
    <row r="33" spans="1:10" ht="15" thickBot="1" x14ac:dyDescent="0.35"/>
    <row r="34" spans="1:10" ht="18.600000000000001" thickBot="1" x14ac:dyDescent="0.4">
      <c r="A34" s="240" t="s">
        <v>97</v>
      </c>
      <c r="B34" s="241"/>
      <c r="C34" s="241"/>
      <c r="D34" s="241"/>
      <c r="E34" s="242"/>
    </row>
    <row r="35" spans="1:10" x14ac:dyDescent="0.3">
      <c r="A35" s="229"/>
      <c r="B35" s="10"/>
      <c r="C35" s="230" t="s">
        <v>96</v>
      </c>
      <c r="D35" s="10"/>
      <c r="E35" s="11"/>
    </row>
    <row r="36" spans="1:10" ht="15" thickBot="1" x14ac:dyDescent="0.35">
      <c r="A36" s="231" t="s">
        <v>92</v>
      </c>
      <c r="B36" s="232" t="s">
        <v>89</v>
      </c>
      <c r="C36" s="232" t="s">
        <v>90</v>
      </c>
      <c r="D36" s="232" t="s">
        <v>88</v>
      </c>
      <c r="E36" s="233" t="s">
        <v>91</v>
      </c>
    </row>
    <row r="37" spans="1:10" x14ac:dyDescent="0.3">
      <c r="A37" s="4">
        <v>1</v>
      </c>
      <c r="B37" s="80">
        <f>40000000/24</f>
        <v>1666666.6666666667</v>
      </c>
      <c r="C37" s="80">
        <f>+((0.062745/360)*30.4*B37)*1</f>
        <v>8830.7777777777756</v>
      </c>
      <c r="D37" s="47">
        <f>+C37*A37</f>
        <v>8830.7777777777756</v>
      </c>
      <c r="E37" s="208">
        <f>+D37+B37</f>
        <v>1675497.4444444445</v>
      </c>
      <c r="F37" s="227"/>
      <c r="G37" s="228"/>
      <c r="H37" s="237"/>
      <c r="I37" s="228"/>
      <c r="J37" s="228"/>
    </row>
    <row r="38" spans="1:10" x14ac:dyDescent="0.3">
      <c r="A38" s="4">
        <v>2</v>
      </c>
      <c r="B38" s="80">
        <f t="shared" ref="B38:B60" si="1">40000000/24</f>
        <v>1666666.6666666667</v>
      </c>
      <c r="C38" s="80">
        <f t="shared" ref="C38:C59" si="2">+((0.062745/360)*30.4*B38)*1</f>
        <v>8830.7777777777756</v>
      </c>
      <c r="D38" s="47">
        <f t="shared" ref="D38:D60" si="3">+C38*A38</f>
        <v>17661.555555555551</v>
      </c>
      <c r="E38" s="208">
        <f t="shared" ref="E38:E61" si="4">+D38+B38</f>
        <v>1684328.2222222222</v>
      </c>
      <c r="F38" s="227"/>
      <c r="G38" s="228"/>
      <c r="H38" s="237"/>
      <c r="I38" s="238"/>
      <c r="J38" s="228"/>
    </row>
    <row r="39" spans="1:10" x14ac:dyDescent="0.3">
      <c r="A39" s="4">
        <v>3</v>
      </c>
      <c r="B39" s="80">
        <f t="shared" si="1"/>
        <v>1666666.6666666667</v>
      </c>
      <c r="C39" s="80">
        <f t="shared" si="2"/>
        <v>8830.7777777777756</v>
      </c>
      <c r="D39" s="47">
        <f t="shared" si="3"/>
        <v>26492.333333333328</v>
      </c>
      <c r="E39" s="208">
        <f t="shared" si="4"/>
        <v>1693159</v>
      </c>
      <c r="F39" s="227"/>
      <c r="G39" s="228"/>
      <c r="H39" s="237"/>
      <c r="I39" s="238"/>
      <c r="J39" s="228"/>
    </row>
    <row r="40" spans="1:10" x14ac:dyDescent="0.3">
      <c r="A40" s="4">
        <v>4</v>
      </c>
      <c r="B40" s="80">
        <f t="shared" si="1"/>
        <v>1666666.6666666667</v>
      </c>
      <c r="C40" s="80">
        <f t="shared" si="2"/>
        <v>8830.7777777777756</v>
      </c>
      <c r="D40" s="47">
        <f t="shared" si="3"/>
        <v>35323.111111111102</v>
      </c>
      <c r="E40" s="208">
        <f t="shared" si="4"/>
        <v>1701989.7777777778</v>
      </c>
      <c r="F40" s="227"/>
      <c r="G40" s="228"/>
      <c r="H40" s="237"/>
      <c r="I40" s="238"/>
      <c r="J40" s="228"/>
    </row>
    <row r="41" spans="1:10" x14ac:dyDescent="0.3">
      <c r="A41" s="4">
        <v>5</v>
      </c>
      <c r="B41" s="80">
        <f t="shared" si="1"/>
        <v>1666666.6666666667</v>
      </c>
      <c r="C41" s="80">
        <f t="shared" si="2"/>
        <v>8830.7777777777756</v>
      </c>
      <c r="D41" s="47">
        <f t="shared" si="3"/>
        <v>44153.888888888876</v>
      </c>
      <c r="E41" s="208">
        <f t="shared" si="4"/>
        <v>1710820.5555555555</v>
      </c>
      <c r="F41" s="227"/>
      <c r="G41" s="228"/>
      <c r="H41" s="237"/>
      <c r="I41" s="238"/>
      <c r="J41" s="228"/>
    </row>
    <row r="42" spans="1:10" x14ac:dyDescent="0.3">
      <c r="A42" s="4">
        <v>6</v>
      </c>
      <c r="B42" s="80">
        <f t="shared" si="1"/>
        <v>1666666.6666666667</v>
      </c>
      <c r="C42" s="80">
        <f t="shared" si="2"/>
        <v>8830.7777777777756</v>
      </c>
      <c r="D42" s="47">
        <f t="shared" si="3"/>
        <v>52984.666666666657</v>
      </c>
      <c r="E42" s="208">
        <f t="shared" si="4"/>
        <v>1719651.3333333335</v>
      </c>
      <c r="F42" s="227"/>
      <c r="G42" s="228"/>
      <c r="H42" s="237"/>
      <c r="I42" s="238"/>
      <c r="J42" s="228"/>
    </row>
    <row r="43" spans="1:10" x14ac:dyDescent="0.3">
      <c r="A43" s="4">
        <v>7</v>
      </c>
      <c r="B43" s="80">
        <f t="shared" si="1"/>
        <v>1666666.6666666667</v>
      </c>
      <c r="C43" s="80">
        <f t="shared" si="2"/>
        <v>8830.7777777777756</v>
      </c>
      <c r="D43" s="47">
        <f t="shared" si="3"/>
        <v>61815.444444444431</v>
      </c>
      <c r="E43" s="208">
        <f t="shared" si="4"/>
        <v>1728482.1111111112</v>
      </c>
      <c r="F43" s="227"/>
      <c r="G43" s="228"/>
      <c r="H43" s="237"/>
      <c r="I43" s="238"/>
      <c r="J43" s="228"/>
    </row>
    <row r="44" spans="1:10" x14ac:dyDescent="0.3">
      <c r="A44" s="4">
        <v>8</v>
      </c>
      <c r="B44" s="80">
        <f t="shared" si="1"/>
        <v>1666666.6666666667</v>
      </c>
      <c r="C44" s="80">
        <f t="shared" si="2"/>
        <v>8830.7777777777756</v>
      </c>
      <c r="D44" s="47">
        <f t="shared" si="3"/>
        <v>70646.222222222204</v>
      </c>
      <c r="E44" s="208">
        <f t="shared" si="4"/>
        <v>1737312.888888889</v>
      </c>
      <c r="F44" s="227"/>
      <c r="G44" s="228"/>
      <c r="H44" s="237"/>
      <c r="I44" s="238"/>
      <c r="J44" s="228"/>
    </row>
    <row r="45" spans="1:10" x14ac:dyDescent="0.3">
      <c r="A45" s="4">
        <v>9</v>
      </c>
      <c r="B45" s="80">
        <f t="shared" si="1"/>
        <v>1666666.6666666667</v>
      </c>
      <c r="C45" s="80">
        <f t="shared" si="2"/>
        <v>8830.7777777777756</v>
      </c>
      <c r="D45" s="47">
        <f t="shared" si="3"/>
        <v>79476.999999999985</v>
      </c>
      <c r="E45" s="208">
        <f t="shared" si="4"/>
        <v>1746143.6666666667</v>
      </c>
      <c r="F45" s="227"/>
      <c r="G45" s="228"/>
      <c r="H45" s="237"/>
      <c r="I45" s="238"/>
      <c r="J45" s="228"/>
    </row>
    <row r="46" spans="1:10" x14ac:dyDescent="0.3">
      <c r="A46" s="4">
        <v>10</v>
      </c>
      <c r="B46" s="80">
        <f t="shared" si="1"/>
        <v>1666666.6666666667</v>
      </c>
      <c r="C46" s="80">
        <f t="shared" si="2"/>
        <v>8830.7777777777756</v>
      </c>
      <c r="D46" s="47">
        <f t="shared" si="3"/>
        <v>88307.777777777752</v>
      </c>
      <c r="E46" s="208">
        <f t="shared" si="4"/>
        <v>1754974.4444444445</v>
      </c>
      <c r="F46" s="227"/>
      <c r="G46" s="228"/>
      <c r="H46" s="237"/>
      <c r="I46" s="238"/>
      <c r="J46" s="228"/>
    </row>
    <row r="47" spans="1:10" x14ac:dyDescent="0.3">
      <c r="A47" s="4">
        <v>11</v>
      </c>
      <c r="B47" s="80">
        <f t="shared" si="1"/>
        <v>1666666.6666666667</v>
      </c>
      <c r="C47" s="80">
        <f t="shared" si="2"/>
        <v>8830.7777777777756</v>
      </c>
      <c r="D47" s="47">
        <f t="shared" si="3"/>
        <v>97138.555555555533</v>
      </c>
      <c r="E47" s="208">
        <f t="shared" si="4"/>
        <v>1763805.2222222222</v>
      </c>
      <c r="F47" s="227"/>
      <c r="G47" s="228"/>
      <c r="H47" s="237"/>
      <c r="I47" s="238"/>
      <c r="J47" s="228"/>
    </row>
    <row r="48" spans="1:10" x14ac:dyDescent="0.3">
      <c r="A48" s="4">
        <v>12</v>
      </c>
      <c r="B48" s="80">
        <f t="shared" si="1"/>
        <v>1666666.6666666667</v>
      </c>
      <c r="C48" s="80">
        <f t="shared" si="2"/>
        <v>8830.7777777777756</v>
      </c>
      <c r="D48" s="47">
        <f t="shared" si="3"/>
        <v>105969.33333333331</v>
      </c>
      <c r="E48" s="208">
        <f t="shared" si="4"/>
        <v>1772636</v>
      </c>
      <c r="F48" s="227"/>
      <c r="G48" s="228"/>
      <c r="H48" s="237"/>
      <c r="I48" s="238"/>
      <c r="J48" s="228"/>
    </row>
    <row r="49" spans="1:10" x14ac:dyDescent="0.3">
      <c r="A49" s="4">
        <v>13</v>
      </c>
      <c r="B49" s="80">
        <f t="shared" si="1"/>
        <v>1666666.6666666667</v>
      </c>
      <c r="C49" s="80">
        <f t="shared" si="2"/>
        <v>8830.7777777777756</v>
      </c>
      <c r="D49" s="47">
        <f t="shared" si="3"/>
        <v>114800.11111111108</v>
      </c>
      <c r="E49" s="208">
        <f t="shared" si="4"/>
        <v>1781466.7777777778</v>
      </c>
      <c r="F49" s="227"/>
      <c r="G49" s="228"/>
      <c r="H49" s="237"/>
      <c r="I49" s="238"/>
      <c r="J49" s="228"/>
    </row>
    <row r="50" spans="1:10" x14ac:dyDescent="0.3">
      <c r="A50" s="4">
        <v>14</v>
      </c>
      <c r="B50" s="80">
        <f t="shared" si="1"/>
        <v>1666666.6666666667</v>
      </c>
      <c r="C50" s="80">
        <f t="shared" si="2"/>
        <v>8830.7777777777756</v>
      </c>
      <c r="D50" s="47">
        <f t="shared" si="3"/>
        <v>123630.88888888886</v>
      </c>
      <c r="E50" s="208">
        <f t="shared" si="4"/>
        <v>1790297.5555555555</v>
      </c>
      <c r="F50" s="227"/>
      <c r="G50" s="228"/>
      <c r="H50" s="237"/>
      <c r="I50" s="238"/>
      <c r="J50" s="228"/>
    </row>
    <row r="51" spans="1:10" x14ac:dyDescent="0.3">
      <c r="A51" s="4">
        <v>15</v>
      </c>
      <c r="B51" s="80">
        <f t="shared" si="1"/>
        <v>1666666.6666666667</v>
      </c>
      <c r="C51" s="80">
        <f t="shared" si="2"/>
        <v>8830.7777777777756</v>
      </c>
      <c r="D51" s="47">
        <f t="shared" si="3"/>
        <v>132461.66666666663</v>
      </c>
      <c r="E51" s="208">
        <f t="shared" si="4"/>
        <v>1799128.3333333335</v>
      </c>
      <c r="F51" s="227"/>
      <c r="G51" s="228"/>
      <c r="H51" s="237"/>
      <c r="I51" s="238"/>
      <c r="J51" s="228"/>
    </row>
    <row r="52" spans="1:10" x14ac:dyDescent="0.3">
      <c r="A52" s="4">
        <v>16</v>
      </c>
      <c r="B52" s="80">
        <f t="shared" si="1"/>
        <v>1666666.6666666667</v>
      </c>
      <c r="C52" s="80">
        <f t="shared" si="2"/>
        <v>8830.7777777777756</v>
      </c>
      <c r="D52" s="47">
        <f t="shared" si="3"/>
        <v>141292.44444444441</v>
      </c>
      <c r="E52" s="208">
        <f t="shared" si="4"/>
        <v>1807959.1111111112</v>
      </c>
      <c r="F52" s="227"/>
      <c r="G52" s="228"/>
      <c r="H52" s="237"/>
      <c r="I52" s="238"/>
      <c r="J52" s="228"/>
    </row>
    <row r="53" spans="1:10" x14ac:dyDescent="0.3">
      <c r="A53" s="4">
        <v>17</v>
      </c>
      <c r="B53" s="80">
        <f t="shared" si="1"/>
        <v>1666666.6666666667</v>
      </c>
      <c r="C53" s="80">
        <f t="shared" si="2"/>
        <v>8830.7777777777756</v>
      </c>
      <c r="D53" s="47">
        <f t="shared" si="3"/>
        <v>150123.22222222219</v>
      </c>
      <c r="E53" s="208">
        <f t="shared" si="4"/>
        <v>1816789.888888889</v>
      </c>
      <c r="F53" s="227"/>
      <c r="G53" s="228"/>
      <c r="H53" s="237"/>
      <c r="I53" s="238"/>
      <c r="J53" s="228"/>
    </row>
    <row r="54" spans="1:10" x14ac:dyDescent="0.3">
      <c r="A54" s="4">
        <v>18</v>
      </c>
      <c r="B54" s="80">
        <f t="shared" si="1"/>
        <v>1666666.6666666667</v>
      </c>
      <c r="C54" s="80">
        <f t="shared" si="2"/>
        <v>8830.7777777777756</v>
      </c>
      <c r="D54" s="47">
        <f t="shared" si="3"/>
        <v>158953.99999999997</v>
      </c>
      <c r="E54" s="208">
        <f t="shared" si="4"/>
        <v>1825620.6666666667</v>
      </c>
      <c r="F54" s="227"/>
      <c r="G54" s="228"/>
      <c r="H54" s="237"/>
      <c r="I54" s="238"/>
      <c r="J54" s="228"/>
    </row>
    <row r="55" spans="1:10" x14ac:dyDescent="0.3">
      <c r="A55" s="4">
        <v>19</v>
      </c>
      <c r="B55" s="80">
        <f t="shared" si="1"/>
        <v>1666666.6666666667</v>
      </c>
      <c r="C55" s="80">
        <f t="shared" si="2"/>
        <v>8830.7777777777756</v>
      </c>
      <c r="D55" s="47">
        <f t="shared" si="3"/>
        <v>167784.77777777772</v>
      </c>
      <c r="E55" s="208">
        <f t="shared" si="4"/>
        <v>1834451.4444444445</v>
      </c>
      <c r="F55" s="227"/>
      <c r="G55" s="228"/>
      <c r="H55" s="237"/>
      <c r="I55" s="238"/>
      <c r="J55" s="228"/>
    </row>
    <row r="56" spans="1:10" x14ac:dyDescent="0.3">
      <c r="A56" s="4">
        <v>20</v>
      </c>
      <c r="B56" s="80">
        <f t="shared" si="1"/>
        <v>1666666.6666666667</v>
      </c>
      <c r="C56" s="80">
        <f t="shared" si="2"/>
        <v>8830.7777777777756</v>
      </c>
      <c r="D56" s="47">
        <f t="shared" si="3"/>
        <v>176615.5555555555</v>
      </c>
      <c r="E56" s="208">
        <f t="shared" si="4"/>
        <v>1843282.2222222222</v>
      </c>
      <c r="F56" s="227"/>
      <c r="G56" s="228"/>
      <c r="H56" s="237"/>
      <c r="I56" s="238"/>
      <c r="J56" s="228"/>
    </row>
    <row r="57" spans="1:10" x14ac:dyDescent="0.3">
      <c r="A57" s="4">
        <v>21</v>
      </c>
      <c r="B57" s="80">
        <f t="shared" si="1"/>
        <v>1666666.6666666667</v>
      </c>
      <c r="C57" s="80">
        <f t="shared" si="2"/>
        <v>8830.7777777777756</v>
      </c>
      <c r="D57" s="47">
        <f t="shared" si="3"/>
        <v>185446.33333333328</v>
      </c>
      <c r="E57" s="208">
        <f t="shared" si="4"/>
        <v>1852113</v>
      </c>
      <c r="F57" s="227"/>
      <c r="G57" s="228"/>
      <c r="H57" s="237"/>
      <c r="I57" s="238"/>
      <c r="J57" s="228"/>
    </row>
    <row r="58" spans="1:10" x14ac:dyDescent="0.3">
      <c r="A58" s="4">
        <v>22</v>
      </c>
      <c r="B58" s="80">
        <f t="shared" si="1"/>
        <v>1666666.6666666667</v>
      </c>
      <c r="C58" s="80">
        <f t="shared" si="2"/>
        <v>8830.7777777777756</v>
      </c>
      <c r="D58" s="47">
        <f t="shared" si="3"/>
        <v>194277.11111111107</v>
      </c>
      <c r="E58" s="208">
        <f t="shared" si="4"/>
        <v>1860943.7777777778</v>
      </c>
      <c r="F58" s="227"/>
      <c r="G58" s="228"/>
      <c r="H58" s="237"/>
      <c r="I58" s="238"/>
      <c r="J58" s="228"/>
    </row>
    <row r="59" spans="1:10" x14ac:dyDescent="0.3">
      <c r="A59" s="4">
        <v>23</v>
      </c>
      <c r="B59" s="80">
        <f t="shared" si="1"/>
        <v>1666666.6666666667</v>
      </c>
      <c r="C59" s="80">
        <f t="shared" si="2"/>
        <v>8830.7777777777756</v>
      </c>
      <c r="D59" s="47">
        <f t="shared" si="3"/>
        <v>203107.88888888885</v>
      </c>
      <c r="E59" s="208">
        <f t="shared" si="4"/>
        <v>1869774.5555555555</v>
      </c>
      <c r="F59" s="227"/>
      <c r="G59" s="228"/>
      <c r="H59" s="237"/>
      <c r="I59" s="238"/>
      <c r="J59" s="228"/>
    </row>
    <row r="60" spans="1:10" ht="15" thickBot="1" x14ac:dyDescent="0.35">
      <c r="A60" s="7">
        <v>24</v>
      </c>
      <c r="B60" s="8">
        <f t="shared" si="1"/>
        <v>1666666.6666666667</v>
      </c>
      <c r="C60" s="8">
        <f>+(0.062745/360)*30.4*B60</f>
        <v>8830.7777777777756</v>
      </c>
      <c r="D60" s="49">
        <f t="shared" si="3"/>
        <v>211938.66666666663</v>
      </c>
      <c r="E60" s="234">
        <f t="shared" si="4"/>
        <v>1878605.3333333335</v>
      </c>
      <c r="F60" s="227"/>
      <c r="G60" s="228"/>
      <c r="H60" s="237"/>
      <c r="I60" s="238"/>
      <c r="J60" s="228"/>
    </row>
    <row r="61" spans="1:10" ht="15" thickBot="1" x14ac:dyDescent="0.35">
      <c r="A61" s="231" t="s">
        <v>19</v>
      </c>
      <c r="B61" s="152">
        <f>SUM(B37:B60)</f>
        <v>40000000</v>
      </c>
      <c r="C61" s="152"/>
      <c r="D61" s="239">
        <f>SUM(D37:D60)</f>
        <v>2649233.333333333</v>
      </c>
      <c r="E61" s="123">
        <f t="shared" si="4"/>
        <v>42649233.333333336</v>
      </c>
      <c r="I61" s="238"/>
      <c r="J61" s="228"/>
    </row>
    <row r="62" spans="1:10" x14ac:dyDescent="0.3">
      <c r="A62" s="85"/>
      <c r="B62" s="80"/>
      <c r="C62" s="80"/>
      <c r="D62" s="47"/>
      <c r="E62" s="47"/>
      <c r="H62" s="227"/>
      <c r="J62" s="228"/>
    </row>
    <row r="63" spans="1:10" x14ac:dyDescent="0.3">
      <c r="B63" s="227"/>
      <c r="C63" s="80"/>
      <c r="D63" s="228"/>
      <c r="E63" s="228"/>
      <c r="H63" s="227"/>
      <c r="J63" s="228"/>
    </row>
    <row r="64" spans="1:10" x14ac:dyDescent="0.3">
      <c r="A64" s="214"/>
      <c r="B64" s="236"/>
      <c r="C64" s="227"/>
      <c r="D64" s="228"/>
      <c r="E64" s="228"/>
      <c r="H64" s="227"/>
      <c r="J64" s="228"/>
    </row>
    <row r="65" spans="2:5" x14ac:dyDescent="0.3">
      <c r="B65" s="227"/>
      <c r="C65" s="227"/>
      <c r="D65" s="228"/>
      <c r="E65" s="228"/>
    </row>
    <row r="66" spans="2:5" x14ac:dyDescent="0.3">
      <c r="B66" s="227"/>
      <c r="C66" s="227"/>
      <c r="D66" s="228"/>
      <c r="E66" s="228"/>
    </row>
  </sheetData>
  <mergeCells count="3">
    <mergeCell ref="A1:L1"/>
    <mergeCell ref="A22:F22"/>
    <mergeCell ref="A34:E3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3"/>
  <sheetViews>
    <sheetView workbookViewId="0">
      <selection sqref="A1:F1"/>
    </sheetView>
  </sheetViews>
  <sheetFormatPr baseColWidth="10" defaultRowHeight="14.4" x14ac:dyDescent="0.3"/>
  <cols>
    <col min="1" max="1" width="4.5546875" customWidth="1"/>
    <col min="2" max="2" width="15.6640625" bestFit="1" customWidth="1"/>
    <col min="3" max="3" width="7.21875" customWidth="1"/>
    <col min="4" max="4" width="6.33203125" customWidth="1"/>
    <col min="5" max="5" width="21.109375" customWidth="1"/>
    <col min="6" max="6" width="21.44140625" customWidth="1"/>
    <col min="7" max="7" width="13.44140625" customWidth="1"/>
    <col min="8" max="8" width="8.33203125" bestFit="1" customWidth="1"/>
    <col min="9" max="16" width="6.88671875" bestFit="1" customWidth="1"/>
    <col min="17" max="17" width="7.88671875" bestFit="1" customWidth="1"/>
    <col min="18" max="18" width="14.44140625" bestFit="1" customWidth="1"/>
  </cols>
  <sheetData>
    <row r="1" spans="1:18" ht="15" thickBot="1" x14ac:dyDescent="0.35">
      <c r="A1" s="252" t="s">
        <v>42</v>
      </c>
      <c r="B1" s="253"/>
      <c r="C1" s="253"/>
      <c r="D1" s="253"/>
      <c r="E1" s="253"/>
      <c r="F1" s="254"/>
      <c r="G1" s="252" t="s">
        <v>43</v>
      </c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4"/>
    </row>
    <row r="2" spans="1:18" ht="15" thickBot="1" x14ac:dyDescent="0.35">
      <c r="A2" s="165" t="s">
        <v>44</v>
      </c>
      <c r="B2" s="166" t="s">
        <v>45</v>
      </c>
      <c r="C2" s="166" t="s">
        <v>39</v>
      </c>
      <c r="D2" s="166" t="s">
        <v>26</v>
      </c>
      <c r="E2" s="166" t="s">
        <v>46</v>
      </c>
      <c r="F2" s="166" t="s">
        <v>47</v>
      </c>
      <c r="G2" s="167">
        <v>2012</v>
      </c>
      <c r="H2" s="168">
        <f>G2+1</f>
        <v>2013</v>
      </c>
      <c r="I2" s="168">
        <f t="shared" ref="I2:P2" si="0">H2+1</f>
        <v>2014</v>
      </c>
      <c r="J2" s="168">
        <f t="shared" si="0"/>
        <v>2015</v>
      </c>
      <c r="K2" s="168">
        <f t="shared" si="0"/>
        <v>2016</v>
      </c>
      <c r="L2" s="168">
        <f t="shared" si="0"/>
        <v>2017</v>
      </c>
      <c r="M2" s="168">
        <f t="shared" si="0"/>
        <v>2018</v>
      </c>
      <c r="N2" s="168">
        <f>M2+1</f>
        <v>2019</v>
      </c>
      <c r="O2" s="168">
        <f t="shared" si="0"/>
        <v>2020</v>
      </c>
      <c r="P2" s="168">
        <f t="shared" si="0"/>
        <v>2021</v>
      </c>
      <c r="Q2" s="168">
        <v>2022</v>
      </c>
      <c r="R2" s="169" t="s">
        <v>48</v>
      </c>
    </row>
    <row r="3" spans="1:18" x14ac:dyDescent="0.3">
      <c r="A3" s="170">
        <v>1</v>
      </c>
      <c r="B3" s="171">
        <v>41319</v>
      </c>
      <c r="C3" s="172">
        <f>YEAR(B3)</f>
        <v>2013</v>
      </c>
      <c r="D3" s="172">
        <v>320</v>
      </c>
      <c r="E3" s="80">
        <f>SUM(Antecedentes!B5:B9)+Antecedentes!B3</f>
        <v>37660546.199999996</v>
      </c>
      <c r="F3" s="80">
        <f>E3</f>
        <v>37660546.199999996</v>
      </c>
      <c r="G3" s="173">
        <v>0</v>
      </c>
      <c r="H3" s="80">
        <f>+(E3/millones)*(((tasareal+H13)/360)*D3)</f>
        <v>2.3332800623466667</v>
      </c>
      <c r="I3" s="80">
        <f>IF(I$2&gt;=$C3,($E3+H3)/millones*(VLOOKUP(I$2,inflación,2,FALSE)+tasareal),0)</f>
        <v>2.6663668361562283</v>
      </c>
      <c r="J3" s="80">
        <f t="shared" ref="J3:Q3" si="1">IF(J$2&gt;=$C3,($E3+I3)/millones*(VLOOKUP(J$2,inflación,2,FALSE)+tasareal),0)</f>
        <v>1.9319861568446184</v>
      </c>
      <c r="K3" s="80">
        <f t="shared" si="1"/>
        <v>2.3952108611943186</v>
      </c>
      <c r="L3" s="80">
        <f t="shared" si="1"/>
        <v>3.6794355977521005</v>
      </c>
      <c r="M3" s="80">
        <f t="shared" si="1"/>
        <v>2.9488210555598071</v>
      </c>
      <c r="N3" s="80">
        <f t="shared" si="1"/>
        <v>2.1956100153762668</v>
      </c>
      <c r="O3" s="80">
        <f t="shared" si="1"/>
        <v>2.3161237263300158</v>
      </c>
      <c r="P3" s="80">
        <f t="shared" si="1"/>
        <v>3.2388071723866396</v>
      </c>
      <c r="Q3" s="80">
        <f t="shared" si="1"/>
        <v>2.5232568124000805</v>
      </c>
      <c r="R3" s="174">
        <f>E3/millones+SUM(G3:Q3)</f>
        <v>63.889444496346741</v>
      </c>
    </row>
    <row r="4" spans="1:18" ht="15" thickBot="1" x14ac:dyDescent="0.35">
      <c r="A4" s="175">
        <v>2</v>
      </c>
      <c r="B4" s="176">
        <v>41513</v>
      </c>
      <c r="C4" s="177">
        <f t="shared" ref="C4" si="2">YEAR(B4)</f>
        <v>2013</v>
      </c>
      <c r="D4" s="177">
        <v>126</v>
      </c>
      <c r="E4" s="8">
        <f>+Antecedentes!B4</f>
        <v>1911534.7</v>
      </c>
      <c r="F4" s="8">
        <f>E4+F3</f>
        <v>39572080.899999999</v>
      </c>
      <c r="G4" s="178">
        <v>0</v>
      </c>
      <c r="H4" s="8">
        <f>+(E4/millones)*(((tasareal+H13)/360)*D4)</f>
        <v>4.6631889006499998E-2</v>
      </c>
      <c r="I4" s="8">
        <f>IF(I$2&gt;=$C4,($E4+H4)/millones*(VLOOKUP(I$2,inflación,2,FALSE)+tasareal),0)</f>
        <v>0.13533666006153774</v>
      </c>
      <c r="J4" s="8">
        <f t="shared" ref="J4:Q4" si="3">IF(J$2&gt;=$C4,($E4+I4)/millones*(VLOOKUP(J$2,inflación,2,FALSE)+tasareal),0)</f>
        <v>9.8061737052770659E-2</v>
      </c>
      <c r="K4" s="8">
        <f t="shared" si="3"/>
        <v>0.12157361315672645</v>
      </c>
      <c r="L4" s="8">
        <f t="shared" si="3"/>
        <v>0.18675695206774201</v>
      </c>
      <c r="M4" s="8">
        <f t="shared" si="3"/>
        <v>0.14967318163306936</v>
      </c>
      <c r="N4" s="8">
        <f t="shared" si="3"/>
        <v>0.11144248173594647</v>
      </c>
      <c r="O4" s="8">
        <f t="shared" si="3"/>
        <v>0.1175593909037126</v>
      </c>
      <c r="P4" s="8">
        <f t="shared" si="3"/>
        <v>0.16439199431010759</v>
      </c>
      <c r="Q4" s="8">
        <f t="shared" si="3"/>
        <v>0.12807283591426363</v>
      </c>
      <c r="R4" s="9">
        <f t="shared" ref="R4" si="4">E4/millones+SUM(G4:Q4)</f>
        <v>3.1710354358423762</v>
      </c>
    </row>
    <row r="5" spans="1:18" ht="18.600000000000001" thickBot="1" x14ac:dyDescent="0.4">
      <c r="A5" s="184"/>
      <c r="B5" s="171"/>
      <c r="C5" s="172"/>
      <c r="D5" s="172"/>
      <c r="E5" s="80"/>
      <c r="F5" s="80"/>
      <c r="G5" s="185" t="s">
        <v>50</v>
      </c>
      <c r="H5" s="186"/>
      <c r="I5" s="186"/>
      <c r="J5" s="186"/>
      <c r="K5" s="186"/>
      <c r="L5" s="186"/>
      <c r="M5" s="186"/>
      <c r="N5" s="186"/>
      <c r="O5" s="186"/>
      <c r="P5" s="186"/>
      <c r="Q5" s="190" t="s">
        <v>51</v>
      </c>
      <c r="R5" s="191">
        <f>SUM(R3:R4)</f>
        <v>67.060479932189111</v>
      </c>
    </row>
    <row r="6" spans="1:18" x14ac:dyDescent="0.3">
      <c r="A6" s="184"/>
      <c r="B6" s="171"/>
      <c r="C6" s="172"/>
      <c r="D6" s="172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</row>
    <row r="7" spans="1:18" ht="15.6" x14ac:dyDescent="0.3">
      <c r="A7" s="184"/>
      <c r="B7" s="171"/>
      <c r="C7" s="172"/>
      <c r="D7" s="183"/>
      <c r="E7" s="80"/>
      <c r="F7" s="80"/>
      <c r="G7" s="188" t="s">
        <v>53</v>
      </c>
      <c r="H7" s="257">
        <v>1000000</v>
      </c>
      <c r="I7" s="257"/>
      <c r="J7" s="80"/>
      <c r="K7" s="80"/>
      <c r="L7" s="80"/>
      <c r="M7" s="80"/>
      <c r="N7" s="80"/>
      <c r="O7" s="80"/>
      <c r="P7" s="80"/>
      <c r="Q7" s="80"/>
      <c r="R7" s="80"/>
    </row>
    <row r="8" spans="1:18" ht="15.6" x14ac:dyDescent="0.3">
      <c r="A8" s="184"/>
      <c r="B8" s="171"/>
      <c r="C8" s="172"/>
      <c r="D8" s="172"/>
      <c r="E8" s="80"/>
      <c r="F8" s="80"/>
      <c r="G8" s="189" t="s">
        <v>54</v>
      </c>
      <c r="H8" s="258">
        <v>0.03</v>
      </c>
      <c r="I8" s="258"/>
      <c r="J8" s="80"/>
      <c r="K8" s="80"/>
      <c r="L8" s="80"/>
      <c r="M8" s="80"/>
      <c r="N8" s="80"/>
      <c r="O8" s="80"/>
      <c r="P8" s="80"/>
      <c r="Q8" s="80"/>
      <c r="R8" s="80"/>
    </row>
    <row r="9" spans="1:18" ht="15" thickBot="1" x14ac:dyDescent="0.35">
      <c r="A9" s="184"/>
      <c r="B9" s="171"/>
      <c r="C9" s="172"/>
      <c r="D9" s="172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</row>
    <row r="10" spans="1:18" x14ac:dyDescent="0.3">
      <c r="A10" s="184"/>
      <c r="B10" s="171"/>
      <c r="C10" s="172"/>
      <c r="D10" s="172"/>
      <c r="E10" s="80"/>
      <c r="F10" s="80"/>
      <c r="G10" s="255" t="s">
        <v>38</v>
      </c>
      <c r="H10" s="256"/>
      <c r="I10" s="80"/>
      <c r="J10" s="80"/>
      <c r="K10" s="80"/>
      <c r="L10" s="80"/>
      <c r="M10" s="80"/>
      <c r="N10" s="80"/>
      <c r="O10" s="80"/>
      <c r="P10" s="80"/>
      <c r="Q10" s="80"/>
      <c r="R10" s="80"/>
    </row>
    <row r="11" spans="1:18" ht="15" thickBot="1" x14ac:dyDescent="0.35">
      <c r="A11" s="184"/>
      <c r="B11" s="171"/>
      <c r="C11" s="172"/>
      <c r="D11" s="80"/>
      <c r="E11" s="80"/>
      <c r="F11" s="80"/>
      <c r="G11" s="128" t="s">
        <v>39</v>
      </c>
      <c r="H11" s="129" t="s">
        <v>38</v>
      </c>
      <c r="I11" s="80"/>
      <c r="J11" s="80"/>
      <c r="K11" s="80"/>
      <c r="L11" s="80"/>
      <c r="M11" s="80"/>
      <c r="N11" s="80"/>
      <c r="O11" s="80"/>
      <c r="P11" s="80"/>
      <c r="Q11" s="80"/>
      <c r="R11" s="80"/>
    </row>
    <row r="12" spans="1:18" ht="15.6" x14ac:dyDescent="0.3">
      <c r="A12" s="184"/>
      <c r="B12" s="171"/>
      <c r="C12" s="172"/>
      <c r="D12" s="172"/>
      <c r="E12" s="80"/>
      <c r="F12" s="80"/>
      <c r="G12" s="130">
        <v>2012</v>
      </c>
      <c r="H12" s="100">
        <v>3.5700000000000003E-2</v>
      </c>
      <c r="I12" s="80"/>
      <c r="J12" s="80"/>
      <c r="K12" s="80"/>
      <c r="L12" s="80"/>
      <c r="M12" s="80"/>
      <c r="N12" s="80"/>
      <c r="O12" s="80"/>
      <c r="P12" s="80"/>
      <c r="Q12" s="80"/>
      <c r="R12" s="80"/>
    </row>
    <row r="13" spans="1:18" ht="15.6" x14ac:dyDescent="0.3">
      <c r="A13" s="184"/>
      <c r="B13" s="171"/>
      <c r="C13" s="172"/>
      <c r="D13" s="172"/>
      <c r="E13" s="80"/>
      <c r="F13" s="80"/>
      <c r="G13" s="130">
        <v>2013</v>
      </c>
      <c r="H13" s="100">
        <v>3.9699999999999999E-2</v>
      </c>
      <c r="I13" s="80"/>
      <c r="J13" s="80"/>
      <c r="K13" s="80"/>
      <c r="L13" s="80"/>
      <c r="M13" s="80"/>
      <c r="N13" s="80"/>
      <c r="O13" s="80"/>
      <c r="P13" s="80"/>
      <c r="Q13" s="80"/>
      <c r="R13" s="80"/>
    </row>
    <row r="14" spans="1:18" ht="15.6" x14ac:dyDescent="0.3">
      <c r="A14" s="184"/>
      <c r="B14" s="171"/>
      <c r="C14" s="172"/>
      <c r="D14" s="172"/>
      <c r="E14" s="80"/>
      <c r="F14" s="80"/>
      <c r="G14" s="130">
        <v>2014</v>
      </c>
      <c r="H14" s="100">
        <v>4.0800000000000003E-2</v>
      </c>
      <c r="I14" s="80"/>
      <c r="J14" s="80"/>
      <c r="K14" s="80"/>
      <c r="L14" s="80"/>
      <c r="M14" s="80"/>
      <c r="N14" s="80"/>
      <c r="O14" s="80"/>
      <c r="P14" s="80"/>
      <c r="Q14" s="80"/>
      <c r="R14" s="80"/>
    </row>
    <row r="15" spans="1:18" ht="18" x14ac:dyDescent="0.35">
      <c r="A15" s="184"/>
      <c r="B15" s="171"/>
      <c r="C15" s="171"/>
      <c r="D15" s="171"/>
      <c r="E15" s="85"/>
      <c r="F15" s="85"/>
      <c r="G15" s="130">
        <v>2015</v>
      </c>
      <c r="H15" s="100">
        <v>2.1299999999999999E-2</v>
      </c>
      <c r="I15" s="85"/>
      <c r="J15" s="85"/>
      <c r="K15" s="85"/>
      <c r="L15" s="85"/>
      <c r="M15" s="85"/>
      <c r="N15" s="85"/>
      <c r="O15" s="85"/>
      <c r="P15" s="85"/>
      <c r="Q15" s="85"/>
      <c r="R15" s="187"/>
    </row>
    <row r="16" spans="1:18" ht="15.6" x14ac:dyDescent="0.3">
      <c r="C16" s="180"/>
      <c r="D16" s="180"/>
      <c r="E16" s="181"/>
      <c r="F16" s="182"/>
      <c r="G16" s="130">
        <v>2016</v>
      </c>
      <c r="H16" s="100">
        <v>3.3599999999999998E-2</v>
      </c>
    </row>
    <row r="17" spans="7:16" ht="15.6" x14ac:dyDescent="0.3">
      <c r="G17" s="130">
        <v>2017</v>
      </c>
      <c r="H17" s="100">
        <v>6.7699999999999996E-2</v>
      </c>
      <c r="N17" s="13"/>
      <c r="O17" s="13"/>
      <c r="P17" s="61"/>
    </row>
    <row r="18" spans="7:16" ht="15.6" x14ac:dyDescent="0.3">
      <c r="G18" s="130">
        <v>2018</v>
      </c>
      <c r="H18" s="100">
        <v>4.8300000000000003E-2</v>
      </c>
      <c r="N18" s="13"/>
      <c r="O18" s="13"/>
      <c r="P18" s="61"/>
    </row>
    <row r="19" spans="7:16" ht="15.6" x14ac:dyDescent="0.3">
      <c r="G19" s="130">
        <v>2019</v>
      </c>
      <c r="H19" s="100">
        <v>2.8299999999999999E-2</v>
      </c>
      <c r="N19" s="13"/>
      <c r="O19" s="13"/>
      <c r="P19" s="61"/>
    </row>
    <row r="20" spans="7:16" ht="15.6" x14ac:dyDescent="0.3">
      <c r="G20" s="130">
        <v>2020</v>
      </c>
      <c r="H20" s="100">
        <v>3.15E-2</v>
      </c>
      <c r="N20" s="13"/>
      <c r="O20" s="13"/>
      <c r="P20" s="61"/>
    </row>
    <row r="21" spans="7:16" ht="15.6" x14ac:dyDescent="0.3">
      <c r="G21" s="130">
        <v>2021</v>
      </c>
      <c r="H21" s="131">
        <v>5.5999999999999994E-2</v>
      </c>
      <c r="I21" s="134" t="s">
        <v>49</v>
      </c>
      <c r="N21" s="13"/>
      <c r="O21" s="13"/>
      <c r="P21" s="61"/>
    </row>
    <row r="22" spans="7:16" ht="16.2" thickBot="1" x14ac:dyDescent="0.35">
      <c r="G22" s="132">
        <v>2022</v>
      </c>
      <c r="H22" s="133">
        <v>3.7000000000000005E-2</v>
      </c>
      <c r="I22" s="134" t="s">
        <v>49</v>
      </c>
      <c r="N22" s="13"/>
      <c r="O22" s="13"/>
      <c r="P22" s="61"/>
    </row>
    <row r="23" spans="7:16" x14ac:dyDescent="0.3">
      <c r="G23" s="179" t="s">
        <v>52</v>
      </c>
    </row>
  </sheetData>
  <mergeCells count="5">
    <mergeCell ref="A1:F1"/>
    <mergeCell ref="G1:R1"/>
    <mergeCell ref="G10:H10"/>
    <mergeCell ref="H7:I7"/>
    <mergeCell ref="H8:I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"/>
  <sheetViews>
    <sheetView tabSelected="1" workbookViewId="0">
      <selection sqref="A1:C9"/>
    </sheetView>
  </sheetViews>
  <sheetFormatPr baseColWidth="10" defaultColWidth="50.88671875" defaultRowHeight="14.4" x14ac:dyDescent="0.3"/>
  <cols>
    <col min="1" max="1" width="60.44140625" customWidth="1"/>
    <col min="2" max="2" width="15.109375" customWidth="1"/>
    <col min="3" max="3" width="15.21875" customWidth="1"/>
    <col min="4" max="4" width="16.33203125" bestFit="1" customWidth="1"/>
    <col min="5" max="5" width="14.77734375" bestFit="1" customWidth="1"/>
    <col min="6" max="6" width="19.21875" customWidth="1"/>
  </cols>
  <sheetData>
    <row r="1" spans="1:6" ht="18.600000000000001" thickBot="1" x14ac:dyDescent="0.4">
      <c r="A1" s="259" t="s">
        <v>55</v>
      </c>
      <c r="B1" s="260"/>
      <c r="C1" s="261"/>
      <c r="D1" s="85"/>
    </row>
    <row r="2" spans="1:6" x14ac:dyDescent="0.3">
      <c r="A2" s="217" t="s">
        <v>68</v>
      </c>
      <c r="B2" s="262">
        <f>+Antecedentes!B10</f>
        <v>39572080.899999999</v>
      </c>
      <c r="C2" s="263"/>
      <c r="D2" s="85"/>
    </row>
    <row r="3" spans="1:6" ht="18.600000000000001" customHeight="1" thickBot="1" x14ac:dyDescent="0.35">
      <c r="A3" s="218" t="s">
        <v>56</v>
      </c>
      <c r="B3" s="264">
        <f>+'Rendi. en Flujos de Inversión'!R5*1000000</f>
        <v>67060479.932189114</v>
      </c>
      <c r="C3" s="265"/>
    </row>
    <row r="4" spans="1:6" s="270" customFormat="1" ht="36.6" thickBot="1" x14ac:dyDescent="0.35">
      <c r="A4" s="268"/>
      <c r="B4" s="269" t="s">
        <v>86</v>
      </c>
      <c r="C4" s="269" t="s">
        <v>65</v>
      </c>
      <c r="E4" s="271"/>
    </row>
    <row r="5" spans="1:6" x14ac:dyDescent="0.3">
      <c r="A5" s="219" t="s">
        <v>63</v>
      </c>
      <c r="B5" s="220">
        <f>+'Análisis Pago contado'!C10</f>
        <v>91800000</v>
      </c>
      <c r="C5" s="220">
        <f>SUM('Análisis Pago Fraccionando'!J13:L13)+3700000</f>
        <v>92649233.333333343</v>
      </c>
      <c r="D5" s="228">
        <f>+C5-B3</f>
        <v>25588753.401144229</v>
      </c>
      <c r="E5" s="47">
        <f>+B5-B3</f>
        <v>24739520.067810886</v>
      </c>
    </row>
    <row r="6" spans="1:6" x14ac:dyDescent="0.3">
      <c r="A6" s="221" t="s">
        <v>36</v>
      </c>
      <c r="B6" s="222">
        <f>+'Análisis Pago contado'!B14</f>
        <v>0.11091728503699838</v>
      </c>
      <c r="C6" s="222">
        <f>+'Análisis Pago Fraccionando'!B14</f>
        <v>9.9448119911906607E-2</v>
      </c>
      <c r="E6" s="85"/>
    </row>
    <row r="7" spans="1:6" x14ac:dyDescent="0.3">
      <c r="A7" s="223" t="s">
        <v>37</v>
      </c>
      <c r="B7" s="266">
        <f>+'Análisis Pago contado'!B15</f>
        <v>7250836.0520496368</v>
      </c>
      <c r="C7" s="224">
        <f>+'Análisis Pago Fraccionando'!B15</f>
        <v>4028363.6437340211</v>
      </c>
      <c r="E7" s="85"/>
    </row>
    <row r="8" spans="1:6" x14ac:dyDescent="0.3">
      <c r="A8" s="221" t="s">
        <v>66</v>
      </c>
      <c r="B8" s="266">
        <f>+'Análisis Pago contado'!D28-'Análisis Pago contado'!C28</f>
        <v>2814755.3400000036</v>
      </c>
      <c r="C8" s="224">
        <f>+'Análisis Pago Fraccionando'!D31-'Análisis Pago Fraccionando'!C31</f>
        <v>1014755.3400000036</v>
      </c>
      <c r="E8" s="85"/>
    </row>
    <row r="9" spans="1:6" ht="15" thickBot="1" x14ac:dyDescent="0.35">
      <c r="A9" s="225" t="s">
        <v>67</v>
      </c>
      <c r="B9" s="267">
        <f>+'Análisis Pago contado'!E28</f>
        <v>3.1631708726034047E-2</v>
      </c>
      <c r="C9" s="226">
        <f>+'Análisis Pago Fraccionando'!E31</f>
        <v>1.1403636005915763E-2</v>
      </c>
      <c r="D9" s="85"/>
      <c r="E9" s="85"/>
    </row>
    <row r="10" spans="1:6" ht="15.6" x14ac:dyDescent="0.3">
      <c r="A10" s="185"/>
      <c r="B10" s="85"/>
      <c r="C10" s="85"/>
      <c r="D10" s="85"/>
      <c r="E10" s="85"/>
    </row>
    <row r="11" spans="1:6" x14ac:dyDescent="0.3">
      <c r="A11" s="12" t="s">
        <v>57</v>
      </c>
    </row>
    <row r="12" spans="1:6" x14ac:dyDescent="0.3">
      <c r="A12" s="192" t="s">
        <v>58</v>
      </c>
    </row>
    <row r="14" spans="1:6" x14ac:dyDescent="0.3">
      <c r="A14" s="193" t="s">
        <v>59</v>
      </c>
      <c r="B14" s="194"/>
      <c r="C14" s="194"/>
      <c r="D14" s="212"/>
      <c r="E14" s="212"/>
      <c r="F14" s="212"/>
    </row>
    <row r="15" spans="1:6" x14ac:dyDescent="0.3">
      <c r="A15" s="194" t="s">
        <v>60</v>
      </c>
      <c r="B15" s="194"/>
      <c r="C15" s="194"/>
      <c r="D15" s="212"/>
      <c r="E15" s="212"/>
      <c r="F15" s="212"/>
    </row>
    <row r="16" spans="1:6" x14ac:dyDescent="0.3">
      <c r="A16" s="194" t="s">
        <v>61</v>
      </c>
      <c r="B16" s="194"/>
      <c r="C16" s="194"/>
      <c r="D16" s="212"/>
      <c r="E16" s="212"/>
      <c r="F16" s="212"/>
    </row>
    <row r="17" spans="1:6" x14ac:dyDescent="0.3">
      <c r="A17" s="194" t="s">
        <v>62</v>
      </c>
      <c r="B17" s="194"/>
      <c r="C17" s="194"/>
      <c r="D17" s="212"/>
      <c r="E17" s="212"/>
      <c r="F17" s="212"/>
    </row>
  </sheetData>
  <mergeCells count="3">
    <mergeCell ref="A1:C1"/>
    <mergeCell ref="B2:C2"/>
    <mergeCell ref="B3:C3"/>
  </mergeCells>
  <hyperlinks>
    <hyperlink ref="A12" r:id="rId1" xr:uid="{00000000-0004-0000-06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Antecedentes</vt:lpstr>
      <vt:lpstr>Propuestas</vt:lpstr>
      <vt:lpstr>Comparativa de Propuestas</vt:lpstr>
      <vt:lpstr>Análisis Pago contado</vt:lpstr>
      <vt:lpstr>Análisis Pago Fraccionando</vt:lpstr>
      <vt:lpstr>Rendi. en Flujos de Inversión</vt:lpstr>
      <vt:lpstr>Concentrado</vt:lpstr>
      <vt:lpstr>inflación</vt:lpstr>
      <vt:lpstr>millones</vt:lpstr>
      <vt:lpstr>tasareal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Galvan Godoy, Camilo</dc:creator>
  <cp:lastModifiedBy>Rodrigo Tostado</cp:lastModifiedBy>
  <dcterms:created xsi:type="dcterms:W3CDTF">2021-07-16T14:07:50Z</dcterms:created>
  <dcterms:modified xsi:type="dcterms:W3CDTF">2021-08-30T19:14:38Z</dcterms:modified>
</cp:coreProperties>
</file>